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6.xml" ContentType="application/vnd.openxmlformats-officedocument.spreadsheetml.comments+xml"/>
  <Override PartName="/xl/drawings/drawing15.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53222"/>
  <mc:AlternateContent xmlns:mc="http://schemas.openxmlformats.org/markup-compatibility/2006">
    <mc:Choice Requires="x15">
      <x15ac:absPath xmlns:x15ac="http://schemas.microsoft.com/office/spreadsheetml/2010/11/ac" url="C:\Users\USER\Documents\Matrices Auditoria Financiera de gestion y resultados\Instrumentos\Instrumentos con Claves de accesos v2\"/>
    </mc:Choice>
  </mc:AlternateContent>
  <workbookProtection workbookAlgorithmName="SHA-512" workbookHashValue="2PsrHYiHj6cqq/UrTKnWfQ0Gy88WnrGCbu2LlCqfKjg0nKaOtQRFUFKEkRFWI0Pkdyh1PCY0oKnOlHnh7Ts2tQ==" workbookSaltValue="g6oAWYEa6owlEIH1hPTdSg==" workbookSpinCount="100000" lockStructure="1"/>
  <bookViews>
    <workbookView xWindow="0" yWindow="0" windowWidth="28800" windowHeight="12432" tabRatio="740" firstSheet="3" activeTab="3"/>
  </bookViews>
  <sheets>
    <sheet name="LISTAS" sheetId="6" state="hidden" r:id="rId1"/>
    <sheet name="FENECIMIENTO CUENTA" sheetId="23" state="hidden" r:id="rId2"/>
    <sheet name="LISTAS PPTO" sheetId="15" state="hidden" r:id="rId3"/>
    <sheet name="FENECIMIENTO" sheetId="24" r:id="rId4"/>
    <sheet name="ANALÍTICA ESTADO SITUACIÓN F" sheetId="7" r:id="rId5"/>
    <sheet name="ANALÍTICA ESTADO DE RESULTAD" sheetId="8" r:id="rId6"/>
    <sheet name="MATERIALIDAD FINANCIERA" sheetId="9" r:id="rId7"/>
    <sheet name="HALLAZGOS OPINIÓN_FIN" sheetId="12" r:id="rId8"/>
    <sheet name="DESEMPEÑO FINANCIERO" sheetId="13" r:id="rId9"/>
    <sheet name="ANALÍTICA PRESUPUESTAL" sheetId="19" r:id="rId10"/>
    <sheet name="MATERIALIDAD PRESUPUESTAL" sheetId="10" r:id="rId11"/>
    <sheet name="HALLAZGOS CONCEPTO_PRES" sheetId="14" r:id="rId12"/>
    <sheet name="PLANES Y PROYECTOS" sheetId="11" r:id="rId13"/>
    <sheet name="PLAN ESTRATÉGICO" sheetId="17" r:id="rId14"/>
    <sheet name="ANALÍTICAS GASTO PÚBLICO" sheetId="5" r:id="rId15"/>
    <sheet name="MATERIALIDAD GASTO PÚBLICO" sheetId="3" r:id="rId16"/>
    <sheet name="CALIFICACIÓN GASTO PÚBLICO" sheetId="26" r:id="rId17"/>
    <sheet name="Lista consolidado macro" sheetId="20" state="hidden" r:id="rId18"/>
  </sheets>
  <externalReferences>
    <externalReference r:id="rId19"/>
    <externalReference r:id="rId20"/>
    <externalReference r:id="rId21"/>
    <externalReference r:id="rId22"/>
    <externalReference r:id="rId23"/>
    <externalReference r:id="rId24"/>
  </externalReferences>
  <definedNames>
    <definedName name="_ECONOMIA_CONTRATACION">'CALIFICACIÓN GASTO PÚBLICO'!$CZ$77</definedName>
    <definedName name="_EFICACIA_CONTRATACION">'CALIFICACIÓN GASTO PÚBLICO'!$CZ$76</definedName>
    <definedName name="_EFICIENCIA_CONTRATACION">'CALIFICACIÓN GASTO PÚBLICO'!$CZ$78</definedName>
    <definedName name="Base">'MATERIALIDAD GASTO PÚBLICO'!$I$2:$I$13</definedName>
    <definedName name="BaseSeleccionada">'MATERIALIDAD GASTO PÚBLICO'!#REF!</definedName>
    <definedName name="entidades">#REF!</definedName>
    <definedName name="ETAP" localSheetId="16">'[1]CALIFICACION GASTO PUBLICO'!$A$65518:$A$65524</definedName>
    <definedName name="HALLAZGOS" localSheetId="16">'CALIFICACIÓN GASTO PÚBLICO'!$F$102:$F$110</definedName>
    <definedName name="INSTRUCTIVO_CALIFICACIÓN_DEL_GASTO_PÚBLICO">#REF!</definedName>
    <definedName name="Moneda" localSheetId="3">#REF!</definedName>
    <definedName name="Moneda">#REF!</definedName>
    <definedName name="Montbase">'[2]3. MATERIALIDAD FINANCIERA'!$E$49</definedName>
    <definedName name="Muestra_Min">'MATERIALIDAD GASTO PÚBLICO'!$F$30</definedName>
    <definedName name="Parametro_Min">'MATERIALIDAD GASTO PÚBLICO'!$C$30</definedName>
    <definedName name="ParaminAlta">'MATERIALIDAD GASTO PÚBLICO'!$O$74</definedName>
    <definedName name="ParaminBaja">'MATERIALIDAD GASTO PÚBLICO'!$O$72</definedName>
    <definedName name="ParaminMedia">'MATERIALIDAD GASTO PÚBLICO'!$O$73</definedName>
    <definedName name="Principios">#REF!</definedName>
    <definedName name="Riesgo">'MATERIALIDAD GASTO PÚBLICO'!$B$24</definedName>
    <definedName name="Riesgo_de_Control" localSheetId="3">#REF!</definedName>
    <definedName name="Riesgo_de_Control">#REF!</definedName>
    <definedName name="Situacionf">'[2]1. ANALÍTICA ESTADO SITUACIÓN F'!$B$124:$B$127</definedName>
    <definedName name="SUMA_MUESTRA">#REF!</definedName>
    <definedName name="Tablaincumlimientos">'PLANES Y PROYECTOS'!#REF!</definedName>
    <definedName name="TablaProcesos52">[2]!TablaProcesos5[#Data]</definedName>
    <definedName name="ValorUniverso">'MATERIALIDAD GASTO PÚBLICO'!$D$19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9" l="1"/>
  <c r="E58" i="9" s="1"/>
  <c r="S25" i="11" l="1"/>
  <c r="S26" i="11"/>
  <c r="S27" i="11"/>
  <c r="S28" i="11"/>
  <c r="S29" i="11"/>
  <c r="S30" i="11"/>
  <c r="S31" i="11"/>
  <c r="S32" i="11"/>
  <c r="S33" i="11"/>
  <c r="S34" i="11"/>
  <c r="S35" i="11"/>
  <c r="S36" i="11"/>
  <c r="S37" i="11"/>
  <c r="S38" i="11"/>
  <c r="S39" i="11"/>
  <c r="S40" i="11"/>
  <c r="S41" i="11"/>
  <c r="S42" i="11"/>
  <c r="S43" i="11"/>
  <c r="S44" i="11"/>
  <c r="S45" i="11"/>
  <c r="S46" i="11"/>
  <c r="S47" i="11"/>
  <c r="S48" i="11"/>
  <c r="S49" i="11"/>
  <c r="S50" i="11"/>
  <c r="S51" i="11"/>
  <c r="S52" i="11"/>
  <c r="S53" i="11"/>
  <c r="S54" i="11"/>
  <c r="S55" i="11"/>
  <c r="S56" i="11"/>
  <c r="S57" i="11"/>
  <c r="S58" i="11"/>
  <c r="S59" i="11"/>
  <c r="S60" i="11"/>
  <c r="S61" i="11"/>
  <c r="S62" i="11"/>
  <c r="S63" i="11"/>
  <c r="S64" i="11"/>
  <c r="S65" i="11"/>
  <c r="S66" i="11"/>
  <c r="S67" i="11"/>
  <c r="S68" i="11"/>
  <c r="S69" i="11"/>
  <c r="S70" i="11"/>
  <c r="S71" i="11"/>
  <c r="S72" i="11"/>
  <c r="S73" i="11"/>
  <c r="S74" i="11"/>
  <c r="S75" i="11"/>
  <c r="S76" i="11"/>
  <c r="S77" i="11"/>
  <c r="S78" i="11"/>
  <c r="S79" i="11"/>
  <c r="S80" i="11"/>
  <c r="S81" i="11"/>
  <c r="S82" i="11"/>
  <c r="S83" i="11"/>
  <c r="S84" i="11"/>
  <c r="S85" i="11"/>
  <c r="S86" i="11"/>
  <c r="S87" i="11"/>
  <c r="S88" i="11"/>
  <c r="S89" i="11"/>
  <c r="S90" i="11"/>
  <c r="S91" i="11"/>
  <c r="S92" i="11"/>
  <c r="S93" i="11"/>
  <c r="S94" i="11"/>
  <c r="S95" i="11"/>
  <c r="S96" i="11"/>
  <c r="S97" i="11"/>
  <c r="S98" i="11"/>
  <c r="S99" i="11"/>
  <c r="S100" i="11"/>
  <c r="S101" i="11"/>
  <c r="S102" i="11"/>
  <c r="S103" i="11"/>
  <c r="S104" i="11"/>
  <c r="S105" i="11"/>
  <c r="S106" i="11"/>
  <c r="S107" i="11"/>
  <c r="S108" i="11"/>
  <c r="S109" i="11"/>
  <c r="S110" i="11"/>
  <c r="S111" i="11"/>
  <c r="S112" i="11"/>
  <c r="S113" i="11"/>
  <c r="S114" i="11"/>
  <c r="S115" i="11"/>
  <c r="S116" i="11"/>
  <c r="S117" i="11"/>
  <c r="S118" i="11"/>
  <c r="S119" i="11"/>
  <c r="S120" i="11"/>
  <c r="S121" i="11"/>
  <c r="S122" i="11"/>
  <c r="S123" i="11"/>
  <c r="S124" i="11"/>
  <c r="S125" i="11"/>
  <c r="S126" i="11"/>
  <c r="S127" i="11"/>
  <c r="S128" i="11"/>
  <c r="S129" i="11"/>
  <c r="S130" i="11"/>
  <c r="S131" i="11"/>
  <c r="S132" i="11"/>
  <c r="S133" i="11"/>
  <c r="S134" i="11"/>
  <c r="S135" i="11"/>
  <c r="S136" i="11"/>
  <c r="S137" i="11"/>
  <c r="S138" i="11"/>
  <c r="S139" i="11"/>
  <c r="S140" i="11"/>
  <c r="S141" i="11"/>
  <c r="S142" i="11"/>
  <c r="S143" i="11"/>
  <c r="S144" i="11"/>
  <c r="S145" i="11"/>
  <c r="S146" i="11"/>
  <c r="S147" i="11"/>
  <c r="S148" i="11"/>
  <c r="S149" i="11"/>
  <c r="S150" i="11"/>
  <c r="S151" i="11"/>
  <c r="S152" i="11"/>
  <c r="S153" i="11"/>
  <c r="S154" i="11"/>
  <c r="S155" i="11"/>
  <c r="S156" i="11"/>
  <c r="S157" i="11"/>
  <c r="S158" i="11"/>
  <c r="S159" i="11"/>
  <c r="S160" i="11"/>
  <c r="S161" i="11"/>
  <c r="S162" i="11"/>
  <c r="S163" i="11"/>
  <c r="S164" i="11"/>
  <c r="S165" i="11"/>
  <c r="S166" i="11"/>
  <c r="S167" i="11"/>
  <c r="S168" i="11"/>
  <c r="S169" i="11"/>
  <c r="S170" i="11"/>
  <c r="S171" i="11"/>
  <c r="S172" i="11"/>
  <c r="S173" i="11"/>
  <c r="S174" i="11"/>
  <c r="S175" i="11"/>
  <c r="S176" i="11"/>
  <c r="S177" i="11"/>
  <c r="S178" i="11"/>
  <c r="S179" i="11"/>
  <c r="S180" i="11"/>
  <c r="S181" i="11"/>
  <c r="S182" i="11"/>
  <c r="S183" i="11"/>
  <c r="S184" i="11"/>
  <c r="S185" i="11"/>
  <c r="S186" i="11"/>
  <c r="S187" i="11"/>
  <c r="S188" i="11"/>
  <c r="S189" i="11"/>
  <c r="S190" i="11"/>
  <c r="S191" i="11"/>
  <c r="S192" i="11"/>
  <c r="S193" i="11"/>
  <c r="S194" i="11"/>
  <c r="S195" i="11"/>
  <c r="S196" i="11"/>
  <c r="S197" i="11"/>
  <c r="S198" i="11"/>
  <c r="S199" i="11"/>
  <c r="S200" i="11"/>
  <c r="S201" i="11"/>
  <c r="S202" i="11"/>
  <c r="S203" i="11"/>
  <c r="S204" i="11"/>
  <c r="S205" i="11"/>
  <c r="S206" i="11"/>
  <c r="S207" i="11"/>
  <c r="S208" i="11"/>
  <c r="S209" i="11"/>
  <c r="S210" i="11"/>
  <c r="S211" i="11"/>
  <c r="S212" i="11"/>
  <c r="S213" i="11"/>
  <c r="S214" i="11"/>
  <c r="S215" i="11"/>
  <c r="S216" i="11"/>
  <c r="S217" i="11"/>
  <c r="S218" i="11"/>
  <c r="S219" i="11"/>
  <c r="S220" i="11"/>
  <c r="S221" i="11"/>
  <c r="S222" i="11"/>
  <c r="S223" i="11"/>
  <c r="S224" i="11"/>
  <c r="S225" i="11"/>
  <c r="S226" i="11"/>
  <c r="S227" i="11"/>
  <c r="S228" i="11"/>
  <c r="S229" i="11"/>
  <c r="S230" i="11"/>
  <c r="S231" i="11"/>
  <c r="S232" i="11"/>
  <c r="S233" i="11"/>
  <c r="S234" i="11"/>
  <c r="S235" i="11"/>
  <c r="S236" i="11"/>
  <c r="S237" i="11"/>
  <c r="S238" i="11"/>
  <c r="S239" i="11"/>
  <c r="S240" i="11"/>
  <c r="S241" i="11"/>
  <c r="S242" i="11"/>
  <c r="S243" i="11"/>
  <c r="S244" i="11"/>
  <c r="S245" i="11"/>
  <c r="S246" i="11"/>
  <c r="S247" i="11"/>
  <c r="S248" i="11"/>
  <c r="S249" i="11"/>
  <c r="S250" i="11"/>
  <c r="S251" i="11"/>
  <c r="S252" i="11"/>
  <c r="S253" i="11"/>
  <c r="S254" i="11"/>
  <c r="S255" i="11"/>
  <c r="S256" i="11"/>
  <c r="S257" i="11"/>
  <c r="S258" i="11"/>
  <c r="S259" i="11"/>
  <c r="S260" i="11"/>
  <c r="S261" i="11"/>
  <c r="S262" i="11"/>
  <c r="S263" i="11"/>
  <c r="S264" i="11"/>
  <c r="S265" i="11"/>
  <c r="S266" i="11"/>
  <c r="S267" i="11"/>
  <c r="S268" i="11"/>
  <c r="S269" i="11"/>
  <c r="S270" i="11"/>
  <c r="S271" i="11"/>
  <c r="S272" i="11"/>
  <c r="S273" i="11"/>
  <c r="S274" i="11"/>
  <c r="S275" i="11"/>
  <c r="S276" i="11"/>
  <c r="S277" i="11"/>
  <c r="S278" i="11"/>
  <c r="S279" i="11"/>
  <c r="S280" i="11"/>
  <c r="S281" i="11"/>
  <c r="S282" i="11"/>
  <c r="S283" i="11"/>
  <c r="S284" i="11"/>
  <c r="S285" i="11"/>
  <c r="S286" i="11"/>
  <c r="S287" i="11"/>
  <c r="S288" i="11"/>
  <c r="S289" i="11"/>
  <c r="S290" i="11"/>
  <c r="S291" i="11"/>
  <c r="S292" i="11"/>
  <c r="S293" i="11"/>
  <c r="S294" i="11"/>
  <c r="S295" i="11"/>
  <c r="S296" i="11"/>
  <c r="S297" i="11"/>
  <c r="S298" i="11"/>
  <c r="S299" i="11"/>
  <c r="S300" i="11"/>
  <c r="S301" i="11"/>
  <c r="S302" i="11"/>
  <c r="S303" i="11"/>
  <c r="S304" i="11"/>
  <c r="S305" i="11"/>
  <c r="S306" i="11"/>
  <c r="S307" i="11"/>
  <c r="S308" i="11"/>
  <c r="S309" i="11"/>
  <c r="S310" i="11"/>
  <c r="S311" i="11"/>
  <c r="S312" i="11"/>
  <c r="S313" i="11"/>
  <c r="S314" i="11"/>
  <c r="S315" i="11"/>
  <c r="S316" i="11"/>
  <c r="S317" i="11"/>
  <c r="S318" i="11"/>
  <c r="S319" i="11"/>
  <c r="S320" i="11"/>
  <c r="S321" i="11"/>
  <c r="S322" i="11"/>
  <c r="S323" i="11"/>
  <c r="S324" i="11"/>
  <c r="S325" i="11"/>
  <c r="S326" i="11"/>
  <c r="S327" i="11"/>
  <c r="S328" i="11"/>
  <c r="S329" i="11"/>
  <c r="S330" i="11"/>
  <c r="S331" i="11"/>
  <c r="S332" i="11"/>
  <c r="S333" i="11"/>
  <c r="S334" i="11"/>
  <c r="S335" i="11"/>
  <c r="S336" i="11"/>
  <c r="S337" i="11"/>
  <c r="S338" i="11"/>
  <c r="S339" i="11"/>
  <c r="S340" i="11"/>
  <c r="S341" i="11"/>
  <c r="S342" i="11"/>
  <c r="S343" i="11"/>
  <c r="S344" i="11"/>
  <c r="S345" i="11"/>
  <c r="S346" i="11"/>
  <c r="S347" i="11"/>
  <c r="S348" i="11"/>
  <c r="S349" i="11"/>
  <c r="S350" i="11"/>
  <c r="S351" i="11"/>
  <c r="S352" i="11"/>
  <c r="S353" i="11"/>
  <c r="S354" i="11"/>
  <c r="S355" i="11"/>
  <c r="S356" i="11"/>
  <c r="S357" i="11"/>
  <c r="S358" i="11"/>
  <c r="S359" i="11"/>
  <c r="S360" i="11"/>
  <c r="S361" i="11"/>
  <c r="S362" i="11"/>
  <c r="S363" i="11"/>
  <c r="S364" i="11"/>
  <c r="S365" i="11"/>
  <c r="S366" i="11"/>
  <c r="S367" i="11"/>
  <c r="S368" i="11"/>
  <c r="S369" i="11"/>
  <c r="S370" i="11"/>
  <c r="S371" i="11"/>
  <c r="S372" i="11"/>
  <c r="S373" i="11"/>
  <c r="S374" i="11"/>
  <c r="S375" i="11"/>
  <c r="S376" i="11"/>
  <c r="S377" i="11"/>
  <c r="S378" i="11"/>
  <c r="S379" i="11"/>
  <c r="S380" i="11"/>
  <c r="S381" i="11"/>
  <c r="S382" i="11"/>
  <c r="S383" i="11"/>
  <c r="S384" i="11"/>
  <c r="S385" i="11"/>
  <c r="S386" i="11"/>
  <c r="S387" i="11"/>
  <c r="S388" i="11"/>
  <c r="S389" i="11"/>
  <c r="S390" i="11"/>
  <c r="S391" i="11"/>
  <c r="S392" i="11"/>
  <c r="S393" i="11"/>
  <c r="S394" i="11"/>
  <c r="S395" i="11"/>
  <c r="S396" i="11"/>
  <c r="S397" i="11"/>
  <c r="S398" i="11"/>
  <c r="S399" i="11"/>
  <c r="S400" i="11"/>
  <c r="S401" i="11"/>
  <c r="S402" i="11"/>
  <c r="S403" i="11"/>
  <c r="S404" i="11"/>
  <c r="S405" i="11"/>
  <c r="S406" i="11"/>
  <c r="S407" i="11"/>
  <c r="S408" i="11"/>
  <c r="S409" i="11"/>
  <c r="S410" i="11"/>
  <c r="S411" i="11"/>
  <c r="S412" i="11"/>
  <c r="S413" i="11"/>
  <c r="S414" i="11"/>
  <c r="S415" i="11"/>
  <c r="S416" i="11"/>
  <c r="S417" i="11"/>
  <c r="S418" i="11"/>
  <c r="S419" i="11"/>
  <c r="S420" i="11"/>
  <c r="S421" i="11"/>
  <c r="S422" i="11"/>
  <c r="S423" i="11"/>
  <c r="S424" i="11"/>
  <c r="S425" i="11"/>
  <c r="S426" i="11"/>
  <c r="S427" i="11"/>
  <c r="S428" i="11"/>
  <c r="S429" i="11"/>
  <c r="S430" i="11"/>
  <c r="S431" i="11"/>
  <c r="S432" i="11"/>
  <c r="S433" i="11"/>
  <c r="S434" i="11"/>
  <c r="S435" i="11"/>
  <c r="S436" i="11"/>
  <c r="S437" i="11"/>
  <c r="S438" i="11"/>
  <c r="S439" i="11"/>
  <c r="S440" i="11"/>
  <c r="S441" i="11"/>
  <c r="S442" i="11"/>
  <c r="S443" i="11"/>
  <c r="S444" i="11"/>
  <c r="S445" i="11"/>
  <c r="S446" i="11"/>
  <c r="S447" i="11"/>
  <c r="S448" i="11"/>
  <c r="S449" i="11"/>
  <c r="S450" i="11"/>
  <c r="B15" i="12" l="1"/>
  <c r="B14" i="12"/>
  <c r="C100" i="12"/>
  <c r="B100" i="12"/>
  <c r="A100" i="12"/>
  <c r="C99" i="12"/>
  <c r="B99" i="12"/>
  <c r="A99" i="12"/>
  <c r="C98" i="12"/>
  <c r="B98" i="12"/>
  <c r="A98" i="12"/>
  <c r="C97" i="12"/>
  <c r="B97" i="12"/>
  <c r="A97" i="12"/>
  <c r="C96" i="12"/>
  <c r="B96" i="12"/>
  <c r="A96" i="12"/>
  <c r="C95" i="12"/>
  <c r="B95" i="12"/>
  <c r="A95" i="12"/>
  <c r="C94" i="12"/>
  <c r="B94" i="12"/>
  <c r="A94" i="12"/>
  <c r="C93" i="12"/>
  <c r="B93" i="12"/>
  <c r="A93" i="12"/>
  <c r="C92" i="12"/>
  <c r="B92" i="12"/>
  <c r="A92" i="12"/>
  <c r="C91" i="12"/>
  <c r="B91" i="12"/>
  <c r="A91" i="12"/>
  <c r="C90" i="12"/>
  <c r="B90" i="12"/>
  <c r="A90" i="12"/>
  <c r="C89" i="12"/>
  <c r="B89" i="12"/>
  <c r="A89" i="12"/>
  <c r="C88" i="12"/>
  <c r="B88" i="12"/>
  <c r="A88" i="12"/>
  <c r="C87" i="12"/>
  <c r="B87" i="12"/>
  <c r="A87" i="12"/>
  <c r="C86" i="12"/>
  <c r="B86" i="12"/>
  <c r="A86" i="12"/>
  <c r="C85" i="12"/>
  <c r="B85" i="12"/>
  <c r="A85" i="12"/>
  <c r="C84" i="12"/>
  <c r="B84" i="12"/>
  <c r="A84" i="12"/>
  <c r="C83" i="12"/>
  <c r="B83" i="12"/>
  <c r="A83" i="12"/>
  <c r="C62" i="12"/>
  <c r="B62" i="12"/>
  <c r="A62" i="12"/>
  <c r="C61" i="12"/>
  <c r="B61" i="12"/>
  <c r="A61" i="12"/>
  <c r="C60" i="12"/>
  <c r="B60" i="12"/>
  <c r="A60" i="12"/>
  <c r="C59" i="12"/>
  <c r="B59" i="12"/>
  <c r="A59" i="12"/>
  <c r="C58" i="12"/>
  <c r="B58" i="12"/>
  <c r="A58" i="12"/>
  <c r="C57" i="12"/>
  <c r="B57" i="12"/>
  <c r="A57" i="12"/>
  <c r="C56" i="12"/>
  <c r="B56" i="12"/>
  <c r="A56" i="12"/>
  <c r="C55" i="12"/>
  <c r="B55" i="12"/>
  <c r="A55" i="12"/>
  <c r="C54" i="12"/>
  <c r="B54" i="12"/>
  <c r="A54" i="12"/>
  <c r="C53" i="12"/>
  <c r="B53" i="12"/>
  <c r="A53" i="12"/>
  <c r="C52" i="12"/>
  <c r="B52" i="12"/>
  <c r="A52" i="12"/>
  <c r="C51" i="12"/>
  <c r="B51" i="12"/>
  <c r="A51" i="12"/>
  <c r="C50" i="12"/>
  <c r="B50" i="12"/>
  <c r="A50" i="12"/>
  <c r="C49" i="12"/>
  <c r="B49" i="12"/>
  <c r="A49" i="12"/>
  <c r="C48" i="12"/>
  <c r="B48" i="12"/>
  <c r="A48" i="12"/>
  <c r="C47" i="12"/>
  <c r="B47" i="12"/>
  <c r="A47" i="12"/>
  <c r="C46" i="12"/>
  <c r="B46" i="12"/>
  <c r="A46" i="12"/>
  <c r="C45" i="12"/>
  <c r="B45" i="12"/>
  <c r="A45" i="12"/>
  <c r="C44" i="12"/>
  <c r="B44" i="12"/>
  <c r="A44" i="12"/>
  <c r="C43" i="12"/>
  <c r="B43" i="12"/>
  <c r="A43" i="12"/>
  <c r="C42" i="12"/>
  <c r="B42" i="12"/>
  <c r="A42" i="12"/>
  <c r="C41" i="12"/>
  <c r="B41" i="12"/>
  <c r="A41" i="12"/>
  <c r="C40" i="12"/>
  <c r="B40" i="12"/>
  <c r="A40" i="12"/>
  <c r="C39" i="12"/>
  <c r="B39" i="12"/>
  <c r="A39" i="12"/>
  <c r="C38" i="12"/>
  <c r="B38" i="12"/>
  <c r="A38" i="12"/>
  <c r="C37" i="12"/>
  <c r="B37" i="12"/>
  <c r="A37" i="12"/>
  <c r="C36" i="12"/>
  <c r="B36" i="12"/>
  <c r="A36" i="12"/>
  <c r="C35" i="12"/>
  <c r="B35" i="12"/>
  <c r="A35" i="12"/>
  <c r="C34" i="12"/>
  <c r="B34" i="12"/>
  <c r="A34" i="12"/>
  <c r="C33" i="12"/>
  <c r="B33" i="12"/>
  <c r="A33" i="12"/>
  <c r="C32" i="12"/>
  <c r="B32" i="12"/>
  <c r="A32" i="12"/>
  <c r="C31" i="12"/>
  <c r="B31" i="12"/>
  <c r="A31" i="12"/>
  <c r="C30" i="12"/>
  <c r="B30" i="12"/>
  <c r="A30" i="12"/>
  <c r="C29" i="12"/>
  <c r="B29" i="12"/>
  <c r="A29" i="12"/>
  <c r="C28" i="12"/>
  <c r="B28" i="12"/>
  <c r="A28" i="12"/>
  <c r="C27" i="12"/>
  <c r="B27" i="12"/>
  <c r="A27" i="12"/>
  <c r="C26" i="12"/>
  <c r="B26" i="12"/>
  <c r="A26" i="12"/>
  <c r="C25" i="12"/>
  <c r="B25" i="12"/>
  <c r="A25" i="12"/>
  <c r="C24" i="12"/>
  <c r="B24" i="12"/>
  <c r="A24" i="12"/>
  <c r="H12" i="8"/>
  <c r="F13" i="8"/>
  <c r="E13" i="8"/>
  <c r="F12" i="8"/>
  <c r="E12" i="8"/>
  <c r="F13" i="7"/>
  <c r="J13" i="7" s="1"/>
  <c r="E13" i="7"/>
  <c r="F12" i="7"/>
  <c r="J12" i="7" s="1"/>
  <c r="E12" i="7"/>
  <c r="H13" i="8" l="1"/>
  <c r="H13" i="7" l="1"/>
  <c r="H12" i="7"/>
  <c r="V34" i="11" l="1"/>
  <c r="V35" i="11"/>
  <c r="V36" i="11"/>
  <c r="V37" i="11"/>
  <c r="V38" i="11"/>
  <c r="V39" i="11"/>
  <c r="V40" i="11"/>
  <c r="V41" i="11"/>
  <c r="V42" i="11"/>
  <c r="V43" i="11"/>
  <c r="V44" i="11"/>
  <c r="V45" i="11"/>
  <c r="V46" i="11"/>
  <c r="V47" i="11"/>
  <c r="V48" i="11"/>
  <c r="V49" i="11"/>
  <c r="V50" i="11"/>
  <c r="V51" i="11"/>
  <c r="V52" i="11"/>
  <c r="V53" i="11"/>
  <c r="V54" i="11"/>
  <c r="V55" i="11"/>
  <c r="V56" i="11"/>
  <c r="V57" i="11"/>
  <c r="V58" i="11"/>
  <c r="V59" i="11"/>
  <c r="V60" i="11"/>
  <c r="V61" i="11"/>
  <c r="V62" i="11"/>
  <c r="V63" i="11"/>
  <c r="V64" i="11"/>
  <c r="V65" i="11"/>
  <c r="V66" i="11"/>
  <c r="V67" i="11"/>
  <c r="V68" i="11"/>
  <c r="V69" i="11"/>
  <c r="V70" i="11"/>
  <c r="V71" i="11"/>
  <c r="V72" i="11"/>
  <c r="V73" i="11"/>
  <c r="V74" i="11"/>
  <c r="V75" i="11"/>
  <c r="V76" i="11"/>
  <c r="V77" i="11"/>
  <c r="V78" i="11"/>
  <c r="V79" i="11"/>
  <c r="V80" i="11"/>
  <c r="V81" i="11"/>
  <c r="V82" i="11"/>
  <c r="V83" i="11"/>
  <c r="V84" i="11"/>
  <c r="V85" i="11"/>
  <c r="V86" i="11"/>
  <c r="V87" i="11"/>
  <c r="V88" i="11"/>
  <c r="V89" i="11"/>
  <c r="V90" i="11"/>
  <c r="V91" i="11"/>
  <c r="V92" i="11"/>
  <c r="V93" i="11"/>
  <c r="V94" i="11"/>
  <c r="V95" i="11"/>
  <c r="V96" i="11"/>
  <c r="V97" i="11"/>
  <c r="V98" i="11"/>
  <c r="V99" i="11"/>
  <c r="V100" i="11"/>
  <c r="V101" i="11"/>
  <c r="V102" i="11"/>
  <c r="V103" i="11"/>
  <c r="V104" i="11"/>
  <c r="V105" i="11"/>
  <c r="V106" i="11"/>
  <c r="V107" i="11"/>
  <c r="V108" i="11"/>
  <c r="V109" i="11"/>
  <c r="V110" i="11"/>
  <c r="V111" i="11"/>
  <c r="V112" i="11"/>
  <c r="V113" i="11"/>
  <c r="V114" i="11"/>
  <c r="V115" i="11"/>
  <c r="V116" i="11"/>
  <c r="V117" i="11"/>
  <c r="V118" i="11"/>
  <c r="V119" i="11"/>
  <c r="V120" i="11"/>
  <c r="V121" i="11"/>
  <c r="V122" i="11"/>
  <c r="V123" i="11"/>
  <c r="V124" i="11"/>
  <c r="V125" i="11"/>
  <c r="V126" i="11"/>
  <c r="V127" i="11"/>
  <c r="V128" i="11"/>
  <c r="V129" i="11"/>
  <c r="V130" i="11"/>
  <c r="V131" i="11"/>
  <c r="V132" i="11"/>
  <c r="V133" i="11"/>
  <c r="V134" i="11"/>
  <c r="V135" i="11"/>
  <c r="V136" i="11"/>
  <c r="V137" i="11"/>
  <c r="V138" i="11"/>
  <c r="V139" i="11"/>
  <c r="V140" i="11"/>
  <c r="V141" i="11"/>
  <c r="V142" i="11"/>
  <c r="V143" i="11"/>
  <c r="V144" i="11"/>
  <c r="V145" i="11"/>
  <c r="V146" i="11"/>
  <c r="V147" i="11"/>
  <c r="V148" i="11"/>
  <c r="V149" i="11"/>
  <c r="V150" i="11"/>
  <c r="V151" i="11"/>
  <c r="V152" i="11"/>
  <c r="V153" i="11"/>
  <c r="V154" i="11"/>
  <c r="V155" i="11"/>
  <c r="V156" i="11"/>
  <c r="V157" i="11"/>
  <c r="V158" i="11"/>
  <c r="V159" i="11"/>
  <c r="V160" i="11"/>
  <c r="V161" i="11"/>
  <c r="V162" i="11"/>
  <c r="V163" i="11"/>
  <c r="V164" i="11"/>
  <c r="V165" i="11"/>
  <c r="V166" i="11"/>
  <c r="V167" i="11"/>
  <c r="V168" i="11"/>
  <c r="V169" i="11"/>
  <c r="V170" i="11"/>
  <c r="V171" i="11"/>
  <c r="V172" i="11"/>
  <c r="V173" i="11"/>
  <c r="V174" i="11"/>
  <c r="V175" i="11"/>
  <c r="V176" i="11"/>
  <c r="V177" i="11"/>
  <c r="V178" i="11"/>
  <c r="V179" i="11"/>
  <c r="V180" i="11"/>
  <c r="V181" i="11"/>
  <c r="V182" i="11"/>
  <c r="V183" i="11"/>
  <c r="V184" i="11"/>
  <c r="V185" i="11"/>
  <c r="V186" i="11"/>
  <c r="V187" i="11"/>
  <c r="V188" i="11"/>
  <c r="V189" i="11"/>
  <c r="V190" i="11"/>
  <c r="V191" i="11"/>
  <c r="V192" i="11"/>
  <c r="V193" i="11"/>
  <c r="V194" i="11"/>
  <c r="V195" i="11"/>
  <c r="V196" i="11"/>
  <c r="V197" i="11"/>
  <c r="V198" i="11"/>
  <c r="V199" i="11"/>
  <c r="V200" i="11"/>
  <c r="V201" i="11"/>
  <c r="V202" i="11"/>
  <c r="V203" i="11"/>
  <c r="V204" i="11"/>
  <c r="V205" i="11"/>
  <c r="V206" i="11"/>
  <c r="V207" i="11"/>
  <c r="V208" i="11"/>
  <c r="V209" i="11"/>
  <c r="V210" i="11"/>
  <c r="V211" i="11"/>
  <c r="V212" i="11"/>
  <c r="V213" i="11"/>
  <c r="V214" i="11"/>
  <c r="V215" i="11"/>
  <c r="V216" i="11"/>
  <c r="V217" i="11"/>
  <c r="V218" i="11"/>
  <c r="V219" i="11"/>
  <c r="V220" i="11"/>
  <c r="V221" i="11"/>
  <c r="V222" i="11"/>
  <c r="V223" i="11"/>
  <c r="V224" i="11"/>
  <c r="V225" i="11"/>
  <c r="V226" i="11"/>
  <c r="V227" i="11"/>
  <c r="V228" i="11"/>
  <c r="V229" i="11"/>
  <c r="V230" i="11"/>
  <c r="V231" i="11"/>
  <c r="V232" i="11"/>
  <c r="V233" i="11"/>
  <c r="V234" i="11"/>
  <c r="V235" i="11"/>
  <c r="V236" i="11"/>
  <c r="V237" i="11"/>
  <c r="V238" i="11"/>
  <c r="V239" i="11"/>
  <c r="V240" i="11"/>
  <c r="V241" i="11"/>
  <c r="V242" i="11"/>
  <c r="V243" i="11"/>
  <c r="V244" i="11"/>
  <c r="V245" i="11"/>
  <c r="V246" i="11"/>
  <c r="V247" i="11"/>
  <c r="V248" i="11"/>
  <c r="V249" i="11"/>
  <c r="V250" i="11"/>
  <c r="V251" i="11"/>
  <c r="V252" i="11"/>
  <c r="V253" i="11"/>
  <c r="V254" i="11"/>
  <c r="V255" i="11"/>
  <c r="V256" i="11"/>
  <c r="V257" i="11"/>
  <c r="V258" i="11"/>
  <c r="V259" i="11"/>
  <c r="V260" i="11"/>
  <c r="V261" i="11"/>
  <c r="V262" i="11"/>
  <c r="V263" i="11"/>
  <c r="V264" i="11"/>
  <c r="V265" i="11"/>
  <c r="V266" i="11"/>
  <c r="V267" i="11"/>
  <c r="V268" i="11"/>
  <c r="V269" i="11"/>
  <c r="V270" i="11"/>
  <c r="V271" i="11"/>
  <c r="V272" i="11"/>
  <c r="V273" i="11"/>
  <c r="V274" i="11"/>
  <c r="V275" i="11"/>
  <c r="V276" i="11"/>
  <c r="V277" i="11"/>
  <c r="V278" i="11"/>
  <c r="V279" i="11"/>
  <c r="V280" i="11"/>
  <c r="V281" i="11"/>
  <c r="V282" i="11"/>
  <c r="V283" i="11"/>
  <c r="V284" i="11"/>
  <c r="V285" i="11"/>
  <c r="V286" i="11"/>
  <c r="V287" i="11"/>
  <c r="V288" i="11"/>
  <c r="V289" i="11"/>
  <c r="V290" i="11"/>
  <c r="V291" i="11"/>
  <c r="V292" i="11"/>
  <c r="V293" i="11"/>
  <c r="V294" i="11"/>
  <c r="V295" i="11"/>
  <c r="V296" i="11"/>
  <c r="V297" i="11"/>
  <c r="V298" i="11"/>
  <c r="V299" i="11"/>
  <c r="V300" i="11"/>
  <c r="V301" i="11"/>
  <c r="V302" i="11"/>
  <c r="V303" i="11"/>
  <c r="V304" i="11"/>
  <c r="V305" i="11"/>
  <c r="V306" i="11"/>
  <c r="V307" i="11"/>
  <c r="V308" i="11"/>
  <c r="V309" i="11"/>
  <c r="V310" i="11"/>
  <c r="V311" i="11"/>
  <c r="V312" i="11"/>
  <c r="V313" i="11"/>
  <c r="V314" i="11"/>
  <c r="V315" i="11"/>
  <c r="V316" i="11"/>
  <c r="V317" i="11"/>
  <c r="V318" i="11"/>
  <c r="V319" i="11"/>
  <c r="V320" i="11"/>
  <c r="V321" i="11"/>
  <c r="V322" i="11"/>
  <c r="V323" i="11"/>
  <c r="V324" i="11"/>
  <c r="V325" i="11"/>
  <c r="V326" i="11"/>
  <c r="V327" i="11"/>
  <c r="V328" i="11"/>
  <c r="V329" i="11"/>
  <c r="V330" i="11"/>
  <c r="V331" i="11"/>
  <c r="V332" i="11"/>
  <c r="V333" i="11"/>
  <c r="V334" i="11"/>
  <c r="V335" i="11"/>
  <c r="V336" i="11"/>
  <c r="V337" i="11"/>
  <c r="V338" i="11"/>
  <c r="V339" i="11"/>
  <c r="V340" i="11"/>
  <c r="V341" i="11"/>
  <c r="V342" i="11"/>
  <c r="V343" i="11"/>
  <c r="V344" i="11"/>
  <c r="V345" i="11"/>
  <c r="V346" i="11"/>
  <c r="V347" i="11"/>
  <c r="V348" i="11"/>
  <c r="V349" i="11"/>
  <c r="V350" i="11"/>
  <c r="V351" i="11"/>
  <c r="V352" i="11"/>
  <c r="V353" i="11"/>
  <c r="V354" i="11"/>
  <c r="V355" i="11"/>
  <c r="V356" i="11"/>
  <c r="V357" i="11"/>
  <c r="V358" i="11"/>
  <c r="V359" i="11"/>
  <c r="V360" i="11"/>
  <c r="V361" i="11"/>
  <c r="V362" i="11"/>
  <c r="V363" i="11"/>
  <c r="V364" i="11"/>
  <c r="V365" i="11"/>
  <c r="V366" i="11"/>
  <c r="V367" i="11"/>
  <c r="V368" i="11"/>
  <c r="V369" i="11"/>
  <c r="V370" i="11"/>
  <c r="V371" i="11"/>
  <c r="V372" i="11"/>
  <c r="V373" i="11"/>
  <c r="V374" i="11"/>
  <c r="V375" i="11"/>
  <c r="V376" i="11"/>
  <c r="V377" i="11"/>
  <c r="V378" i="11"/>
  <c r="V379" i="11"/>
  <c r="V380" i="11"/>
  <c r="V381" i="11"/>
  <c r="V382" i="11"/>
  <c r="V383" i="11"/>
  <c r="V384" i="11"/>
  <c r="V385" i="11"/>
  <c r="V386" i="11"/>
  <c r="V387" i="11"/>
  <c r="V388" i="11"/>
  <c r="V389" i="11"/>
  <c r="V390" i="11"/>
  <c r="V391" i="11"/>
  <c r="V392" i="11"/>
  <c r="V393" i="11"/>
  <c r="V394" i="11"/>
  <c r="V395" i="11"/>
  <c r="V396" i="11"/>
  <c r="V397" i="11"/>
  <c r="V398" i="11"/>
  <c r="V399" i="11"/>
  <c r="V400" i="11"/>
  <c r="V401" i="11"/>
  <c r="V402" i="11"/>
  <c r="V403" i="11"/>
  <c r="V404" i="11"/>
  <c r="V405" i="11"/>
  <c r="V406" i="11"/>
  <c r="V407" i="11"/>
  <c r="V408" i="11"/>
  <c r="V409" i="11"/>
  <c r="V410" i="11"/>
  <c r="V411" i="11"/>
  <c r="V412" i="11"/>
  <c r="V413" i="11"/>
  <c r="V414" i="11"/>
  <c r="V415" i="11"/>
  <c r="V416" i="11"/>
  <c r="V417" i="11"/>
  <c r="V418" i="11"/>
  <c r="V419" i="11"/>
  <c r="V420" i="11"/>
  <c r="V421" i="11"/>
  <c r="V422" i="11"/>
  <c r="V423" i="11"/>
  <c r="V424" i="11"/>
  <c r="V425" i="11"/>
  <c r="V426" i="11"/>
  <c r="V427" i="11"/>
  <c r="V428" i="11"/>
  <c r="V429" i="11"/>
  <c r="V430" i="11"/>
  <c r="V431" i="11"/>
  <c r="V432" i="11"/>
  <c r="V433" i="11"/>
  <c r="V434" i="11"/>
  <c r="V435" i="11"/>
  <c r="V436" i="11"/>
  <c r="V437" i="11"/>
  <c r="V438" i="11"/>
  <c r="V439" i="11"/>
  <c r="V440" i="11"/>
  <c r="V441" i="11"/>
  <c r="V442" i="11"/>
  <c r="V443" i="11"/>
  <c r="V444" i="11"/>
  <c r="V445" i="11"/>
  <c r="V446" i="11"/>
  <c r="V447" i="11"/>
  <c r="V448" i="11"/>
  <c r="V449" i="11"/>
  <c r="V450"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P301" i="11"/>
  <c r="P302" i="11"/>
  <c r="P303" i="11"/>
  <c r="P304" i="11"/>
  <c r="P305" i="11"/>
  <c r="P306" i="11"/>
  <c r="P307" i="11"/>
  <c r="P308" i="11"/>
  <c r="P309" i="11"/>
  <c r="P310" i="11"/>
  <c r="P311" i="11"/>
  <c r="P312" i="11"/>
  <c r="P313" i="11"/>
  <c r="P314" i="11"/>
  <c r="P315" i="11"/>
  <c r="P316" i="11"/>
  <c r="P317" i="11"/>
  <c r="P318" i="11"/>
  <c r="P319" i="11"/>
  <c r="P320" i="11"/>
  <c r="P321" i="11"/>
  <c r="P322" i="11"/>
  <c r="P323" i="11"/>
  <c r="P324" i="11"/>
  <c r="P325" i="11"/>
  <c r="P326" i="11"/>
  <c r="P327" i="11"/>
  <c r="P328" i="11"/>
  <c r="P329" i="11"/>
  <c r="P330" i="11"/>
  <c r="P331" i="11"/>
  <c r="P332" i="11"/>
  <c r="P333" i="11"/>
  <c r="P334" i="11"/>
  <c r="P335" i="11"/>
  <c r="P336" i="11"/>
  <c r="P337" i="11"/>
  <c r="P338" i="11"/>
  <c r="P339" i="11"/>
  <c r="P340" i="11"/>
  <c r="P341" i="11"/>
  <c r="P342" i="11"/>
  <c r="P343" i="11"/>
  <c r="P344" i="11"/>
  <c r="P345" i="11"/>
  <c r="P346" i="11"/>
  <c r="P347" i="11"/>
  <c r="P348" i="11"/>
  <c r="P349" i="11"/>
  <c r="P350" i="11"/>
  <c r="P351" i="11"/>
  <c r="P352" i="11"/>
  <c r="P353" i="11"/>
  <c r="P354" i="11"/>
  <c r="P355" i="11"/>
  <c r="P356" i="11"/>
  <c r="P357" i="11"/>
  <c r="P358" i="11"/>
  <c r="P359" i="11"/>
  <c r="P360" i="11"/>
  <c r="P361" i="11"/>
  <c r="P362" i="11"/>
  <c r="P363" i="11"/>
  <c r="P364" i="11"/>
  <c r="P365" i="11"/>
  <c r="P366" i="11"/>
  <c r="P367" i="11"/>
  <c r="P368" i="11"/>
  <c r="P369" i="11"/>
  <c r="P370" i="11"/>
  <c r="P371" i="11"/>
  <c r="P372" i="11"/>
  <c r="P373" i="11"/>
  <c r="P374" i="11"/>
  <c r="P375" i="11"/>
  <c r="P376" i="11"/>
  <c r="P377" i="11"/>
  <c r="P378" i="11"/>
  <c r="P379" i="11"/>
  <c r="P380" i="11"/>
  <c r="P381" i="11"/>
  <c r="P382" i="11"/>
  <c r="P383" i="11"/>
  <c r="P384" i="11"/>
  <c r="P385" i="11"/>
  <c r="P386" i="11"/>
  <c r="P387" i="11"/>
  <c r="P388" i="11"/>
  <c r="P389" i="11"/>
  <c r="P390" i="11"/>
  <c r="P391" i="11"/>
  <c r="P392" i="11"/>
  <c r="P393" i="11"/>
  <c r="P394" i="11"/>
  <c r="P395" i="11"/>
  <c r="P396" i="11"/>
  <c r="P397" i="11"/>
  <c r="P398" i="11"/>
  <c r="P399" i="11"/>
  <c r="P400" i="11"/>
  <c r="P401" i="11"/>
  <c r="P402" i="11"/>
  <c r="P403" i="11"/>
  <c r="P404" i="11"/>
  <c r="P405" i="11"/>
  <c r="P406" i="11"/>
  <c r="P407" i="11"/>
  <c r="P408" i="11"/>
  <c r="P409" i="11"/>
  <c r="P410" i="11"/>
  <c r="P411" i="11"/>
  <c r="P412" i="11"/>
  <c r="P413" i="11"/>
  <c r="P414" i="11"/>
  <c r="P415" i="11"/>
  <c r="P416" i="11"/>
  <c r="P417" i="11"/>
  <c r="P418" i="11"/>
  <c r="P419" i="11"/>
  <c r="P420" i="11"/>
  <c r="P421" i="11"/>
  <c r="P422" i="11"/>
  <c r="P423" i="11"/>
  <c r="P424" i="11"/>
  <c r="P425" i="11"/>
  <c r="P426" i="11"/>
  <c r="P427" i="11"/>
  <c r="P428" i="11"/>
  <c r="P429" i="11"/>
  <c r="P430" i="11"/>
  <c r="P431" i="11"/>
  <c r="P432" i="11"/>
  <c r="P433" i="11"/>
  <c r="P434" i="11"/>
  <c r="P435" i="11"/>
  <c r="P436" i="11"/>
  <c r="P437" i="11"/>
  <c r="P438" i="11"/>
  <c r="P439" i="11"/>
  <c r="P440" i="11"/>
  <c r="P441" i="11"/>
  <c r="P442" i="11"/>
  <c r="P443" i="11"/>
  <c r="P444" i="11"/>
  <c r="P445" i="11"/>
  <c r="P446" i="11"/>
  <c r="P447" i="11"/>
  <c r="P448" i="11"/>
  <c r="P449" i="11"/>
  <c r="P450" i="11"/>
  <c r="P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M177" i="11"/>
  <c r="M178" i="11"/>
  <c r="M179" i="11"/>
  <c r="M180" i="11"/>
  <c r="M181" i="11"/>
  <c r="M182" i="11"/>
  <c r="M183" i="11"/>
  <c r="M184" i="11"/>
  <c r="M185" i="11"/>
  <c r="M186" i="11"/>
  <c r="M187" i="11"/>
  <c r="M188" i="11"/>
  <c r="M189" i="11"/>
  <c r="M190" i="11"/>
  <c r="M191" i="11"/>
  <c r="M192" i="11"/>
  <c r="M193" i="11"/>
  <c r="M194" i="11"/>
  <c r="M195" i="11"/>
  <c r="M196" i="11"/>
  <c r="M197" i="11"/>
  <c r="M198" i="11"/>
  <c r="M199" i="11"/>
  <c r="M200" i="11"/>
  <c r="M201" i="11"/>
  <c r="M202" i="11"/>
  <c r="M203" i="11"/>
  <c r="M204" i="11"/>
  <c r="M205" i="11"/>
  <c r="M206" i="11"/>
  <c r="M207" i="11"/>
  <c r="M208" i="11"/>
  <c r="M209" i="11"/>
  <c r="M210" i="11"/>
  <c r="M211" i="11"/>
  <c r="M212" i="11"/>
  <c r="M213" i="11"/>
  <c r="M214" i="11"/>
  <c r="M215" i="11"/>
  <c r="M216" i="11"/>
  <c r="M217" i="11"/>
  <c r="M218" i="11"/>
  <c r="M219" i="11"/>
  <c r="M220" i="11"/>
  <c r="M221" i="11"/>
  <c r="M222" i="11"/>
  <c r="M223" i="11"/>
  <c r="M224" i="11"/>
  <c r="M225" i="11"/>
  <c r="M226" i="11"/>
  <c r="M227" i="11"/>
  <c r="M228" i="11"/>
  <c r="M229" i="11"/>
  <c r="M230" i="11"/>
  <c r="M231" i="11"/>
  <c r="M232" i="11"/>
  <c r="M233" i="11"/>
  <c r="M234" i="11"/>
  <c r="M235" i="11"/>
  <c r="M236" i="11"/>
  <c r="M237" i="11"/>
  <c r="M238" i="11"/>
  <c r="M239" i="11"/>
  <c r="M240" i="11"/>
  <c r="M241" i="11"/>
  <c r="M242" i="11"/>
  <c r="M243" i="11"/>
  <c r="M244" i="11"/>
  <c r="M245" i="11"/>
  <c r="M246" i="11"/>
  <c r="M247" i="11"/>
  <c r="M248" i="11"/>
  <c r="M249" i="11"/>
  <c r="M250" i="11"/>
  <c r="M251" i="11"/>
  <c r="M252" i="11"/>
  <c r="M253" i="11"/>
  <c r="M254" i="11"/>
  <c r="M255" i="11"/>
  <c r="M256" i="11"/>
  <c r="M257" i="11"/>
  <c r="M258" i="11"/>
  <c r="M259" i="11"/>
  <c r="M260" i="11"/>
  <c r="M261" i="11"/>
  <c r="M262" i="11"/>
  <c r="M263" i="11"/>
  <c r="M264" i="11"/>
  <c r="M265" i="11"/>
  <c r="M266" i="11"/>
  <c r="M267" i="11"/>
  <c r="M268" i="11"/>
  <c r="M269" i="11"/>
  <c r="M270" i="11"/>
  <c r="M271" i="11"/>
  <c r="M272" i="11"/>
  <c r="M273" i="11"/>
  <c r="M274" i="11"/>
  <c r="M275" i="11"/>
  <c r="M276" i="11"/>
  <c r="M277" i="11"/>
  <c r="M278" i="11"/>
  <c r="M279" i="11"/>
  <c r="M280" i="11"/>
  <c r="M281" i="11"/>
  <c r="M282" i="11"/>
  <c r="M283" i="11"/>
  <c r="M284" i="11"/>
  <c r="M285" i="11"/>
  <c r="M286" i="11"/>
  <c r="M287" i="11"/>
  <c r="M288" i="11"/>
  <c r="M289" i="11"/>
  <c r="M290" i="11"/>
  <c r="M291" i="11"/>
  <c r="M292" i="11"/>
  <c r="M293" i="11"/>
  <c r="M294" i="11"/>
  <c r="M295" i="11"/>
  <c r="M296" i="11"/>
  <c r="M297" i="11"/>
  <c r="M298" i="11"/>
  <c r="M299" i="11"/>
  <c r="M300" i="11"/>
  <c r="M301" i="11"/>
  <c r="M302" i="11"/>
  <c r="M303" i="11"/>
  <c r="M304" i="11"/>
  <c r="M305" i="11"/>
  <c r="M306" i="11"/>
  <c r="M307" i="11"/>
  <c r="M308" i="11"/>
  <c r="M309" i="11"/>
  <c r="M310" i="11"/>
  <c r="M311" i="11"/>
  <c r="M312" i="11"/>
  <c r="M313" i="11"/>
  <c r="M314" i="11"/>
  <c r="M315" i="11"/>
  <c r="M316" i="11"/>
  <c r="M317" i="11"/>
  <c r="M318" i="11"/>
  <c r="M319" i="11"/>
  <c r="M320" i="11"/>
  <c r="M321" i="11"/>
  <c r="M322" i="11"/>
  <c r="M323" i="11"/>
  <c r="M324" i="11"/>
  <c r="M325" i="11"/>
  <c r="M326" i="11"/>
  <c r="M327" i="11"/>
  <c r="M328" i="11"/>
  <c r="M329" i="11"/>
  <c r="M330" i="11"/>
  <c r="M331" i="11"/>
  <c r="M332" i="11"/>
  <c r="M333" i="1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28" i="11"/>
  <c r="J329" i="11"/>
  <c r="J330" i="11"/>
  <c r="J331" i="11"/>
  <c r="J332" i="11"/>
  <c r="J333" i="11"/>
  <c r="J334" i="11"/>
  <c r="J335" i="11"/>
  <c r="J336" i="11"/>
  <c r="J337" i="11"/>
  <c r="J338" i="11"/>
  <c r="J339" i="11"/>
  <c r="J340" i="11"/>
  <c r="J341" i="11"/>
  <c r="J342" i="11"/>
  <c r="J343" i="11"/>
  <c r="J344" i="11"/>
  <c r="J345" i="11"/>
  <c r="J346" i="11"/>
  <c r="J347" i="11"/>
  <c r="J348" i="11"/>
  <c r="J349" i="11"/>
  <c r="J350" i="11"/>
  <c r="J351" i="11"/>
  <c r="J352" i="11"/>
  <c r="J353" i="11"/>
  <c r="J354" i="11"/>
  <c r="J355" i="11"/>
  <c r="J356" i="11"/>
  <c r="J357" i="11"/>
  <c r="J358" i="11"/>
  <c r="J359" i="11"/>
  <c r="J360" i="11"/>
  <c r="J361" i="11"/>
  <c r="J362" i="11"/>
  <c r="J363" i="11"/>
  <c r="J364" i="11"/>
  <c r="J365" i="11"/>
  <c r="J366" i="11"/>
  <c r="J367" i="11"/>
  <c r="J368" i="11"/>
  <c r="J369" i="11"/>
  <c r="J370" i="11"/>
  <c r="J371" i="11"/>
  <c r="J372" i="11"/>
  <c r="J373" i="11"/>
  <c r="J374" i="11"/>
  <c r="J375" i="11"/>
  <c r="J376" i="11"/>
  <c r="J377" i="11"/>
  <c r="J378" i="11"/>
  <c r="J379" i="11"/>
  <c r="J380" i="11"/>
  <c r="J381" i="11"/>
  <c r="J382" i="11"/>
  <c r="J383" i="11"/>
  <c r="J384" i="11"/>
  <c r="J385" i="11"/>
  <c r="J386" i="11"/>
  <c r="J387" i="11"/>
  <c r="J388" i="11"/>
  <c r="J389" i="11"/>
  <c r="J390" i="11"/>
  <c r="J391" i="11"/>
  <c r="J392" i="11"/>
  <c r="J393" i="11"/>
  <c r="J394" i="11"/>
  <c r="J395" i="11"/>
  <c r="J396" i="11"/>
  <c r="J397" i="11"/>
  <c r="J398" i="11"/>
  <c r="J399" i="11"/>
  <c r="J400" i="11"/>
  <c r="J401" i="11"/>
  <c r="J402" i="11"/>
  <c r="J403" i="11"/>
  <c r="J404" i="11"/>
  <c r="J405" i="11"/>
  <c r="J406" i="11"/>
  <c r="J407" i="11"/>
  <c r="J408" i="11"/>
  <c r="J409" i="11"/>
  <c r="J410" i="11"/>
  <c r="J411" i="11"/>
  <c r="J412" i="11"/>
  <c r="J413" i="11"/>
  <c r="J414" i="11"/>
  <c r="J415" i="11"/>
  <c r="J416" i="11"/>
  <c r="J417" i="11"/>
  <c r="J418" i="11"/>
  <c r="J419" i="11"/>
  <c r="J420" i="11"/>
  <c r="J421" i="11"/>
  <c r="J422" i="11"/>
  <c r="J423" i="11"/>
  <c r="J424" i="11"/>
  <c r="J425" i="11"/>
  <c r="J426" i="11"/>
  <c r="J427" i="11"/>
  <c r="J428" i="11"/>
  <c r="J429" i="11"/>
  <c r="J430" i="11"/>
  <c r="J431" i="11"/>
  <c r="J432" i="11"/>
  <c r="J433" i="11"/>
  <c r="J434" i="11"/>
  <c r="J435" i="11"/>
  <c r="J436" i="11"/>
  <c r="J437" i="11"/>
  <c r="J438" i="11"/>
  <c r="J439" i="11"/>
  <c r="J440" i="11"/>
  <c r="J441" i="11"/>
  <c r="J442" i="11"/>
  <c r="J443" i="11"/>
  <c r="J444" i="11"/>
  <c r="J445" i="11"/>
  <c r="J446" i="11"/>
  <c r="J447" i="11"/>
  <c r="J448" i="11"/>
  <c r="J449" i="11"/>
  <c r="J450" i="11"/>
  <c r="J25" i="11"/>
  <c r="H15" i="17" l="1"/>
  <c r="C13" i="12" a="1"/>
  <c r="C13" i="12" s="1"/>
  <c r="C12" i="12" a="1"/>
  <c r="C12" i="12" s="1"/>
  <c r="E15" i="12" l="1"/>
  <c r="E14" i="12"/>
  <c r="G71" i="12"/>
  <c r="G72" i="12"/>
  <c r="M91" i="19" l="1"/>
  <c r="I85" i="12" l="1"/>
  <c r="I86" i="12"/>
  <c r="I89" i="12"/>
  <c r="I90" i="12"/>
  <c r="I93" i="12"/>
  <c r="I94" i="12"/>
  <c r="I97" i="12"/>
  <c r="G83" i="12"/>
  <c r="I83" i="12" s="1"/>
  <c r="G84" i="12"/>
  <c r="I84" i="12" s="1"/>
  <c r="G85" i="12"/>
  <c r="G86" i="12"/>
  <c r="G87" i="12"/>
  <c r="I87" i="12" s="1"/>
  <c r="G88" i="12"/>
  <c r="I88" i="12" s="1"/>
  <c r="G89" i="12"/>
  <c r="G90" i="12"/>
  <c r="G91" i="12"/>
  <c r="I91" i="12" s="1"/>
  <c r="G92" i="12"/>
  <c r="I92" i="12" s="1"/>
  <c r="G93" i="12"/>
  <c r="G94" i="12"/>
  <c r="G95" i="12"/>
  <c r="I95" i="12" s="1"/>
  <c r="G96" i="12"/>
  <c r="I96" i="12" s="1"/>
  <c r="G97" i="12"/>
  <c r="G98" i="12"/>
  <c r="G99" i="12"/>
  <c r="G100" i="12"/>
  <c r="G101" i="12"/>
  <c r="B4" i="5" l="1"/>
  <c r="F10" i="19"/>
  <c r="F9" i="19"/>
  <c r="F8" i="19"/>
  <c r="B10" i="19"/>
  <c r="B9" i="19"/>
  <c r="B8" i="19"/>
  <c r="D4" i="24"/>
  <c r="B4" i="12" s="1"/>
  <c r="H9" i="8"/>
  <c r="H8" i="8"/>
  <c r="H7" i="8"/>
  <c r="C9" i="8"/>
  <c r="C8" i="8"/>
  <c r="C7" i="8"/>
  <c r="G7" i="9"/>
  <c r="G6" i="9"/>
  <c r="C7" i="9"/>
  <c r="C6" i="9"/>
  <c r="E6" i="12"/>
  <c r="E5" i="12"/>
  <c r="B6" i="12"/>
  <c r="B5" i="12"/>
  <c r="H7" i="13"/>
  <c r="H6" i="13"/>
  <c r="B7" i="13"/>
  <c r="B5" i="13"/>
  <c r="F10" i="10"/>
  <c r="F9" i="10"/>
  <c r="B11" i="10"/>
  <c r="B10" i="10"/>
  <c r="B9" i="10"/>
  <c r="G9" i="14"/>
  <c r="G11" i="14"/>
  <c r="G10" i="14"/>
  <c r="C11" i="14"/>
  <c r="C10" i="14"/>
  <c r="C9" i="14"/>
  <c r="F8" i="11"/>
  <c r="F7" i="11"/>
  <c r="C9" i="11"/>
  <c r="C8" i="11"/>
  <c r="C7" i="11"/>
  <c r="B9" i="17"/>
  <c r="B8" i="17"/>
  <c r="B7" i="17"/>
  <c r="I9" i="17"/>
  <c r="I8" i="17"/>
  <c r="I7" i="17"/>
  <c r="G6" i="5"/>
  <c r="G5" i="5"/>
  <c r="G4" i="5"/>
  <c r="B6" i="5"/>
  <c r="B5" i="5"/>
  <c r="B6" i="26"/>
  <c r="B5" i="26"/>
  <c r="B4" i="26"/>
  <c r="B3" i="26"/>
  <c r="F8" i="3"/>
  <c r="F6" i="3"/>
  <c r="C8" i="3"/>
  <c r="C7" i="3"/>
  <c r="C6" i="3"/>
  <c r="C5" i="3"/>
  <c r="B7" i="19" l="1"/>
  <c r="C8" i="14"/>
  <c r="B3" i="5"/>
  <c r="C5" i="9"/>
  <c r="C4" i="3"/>
  <c r="C6" i="8"/>
  <c r="B6" i="17"/>
  <c r="D21" i="14" l="1"/>
  <c r="K21" i="14" s="1"/>
  <c r="D22" i="14"/>
  <c r="C39" i="10"/>
  <c r="D39" i="10" s="1"/>
  <c r="C34" i="10"/>
  <c r="F34" i="13"/>
  <c r="D34" i="10" l="1"/>
  <c r="B59" i="9"/>
  <c r="H23" i="11" l="1"/>
  <c r="P18" i="11"/>
  <c r="I16" i="11" l="1"/>
  <c r="N22" i="11" l="1"/>
  <c r="B12" i="26" l="1"/>
  <c r="H111" i="5" l="1"/>
  <c r="G111" i="5"/>
  <c r="C119" i="5" l="1"/>
  <c r="D119" i="5"/>
  <c r="D15" i="3" s="1"/>
  <c r="E119" i="5" l="1"/>
  <c r="I42" i="24"/>
  <c r="H42" i="24"/>
  <c r="CC15" i="26" l="1"/>
  <c r="E65413" i="26"/>
  <c r="E65412" i="26"/>
  <c r="E65411" i="26"/>
  <c r="E65410" i="26"/>
  <c r="E65409" i="26"/>
  <c r="E65408" i="26"/>
  <c r="E65407" i="26"/>
  <c r="E65406" i="26"/>
  <c r="E65405" i="26"/>
  <c r="E65404" i="26"/>
  <c r="E65403" i="26"/>
  <c r="E65402" i="26"/>
  <c r="E65401" i="26"/>
  <c r="E65400" i="26"/>
  <c r="E65399" i="26"/>
  <c r="E65398" i="26"/>
  <c r="E65397" i="26"/>
  <c r="E65396" i="26"/>
  <c r="E65395" i="26"/>
  <c r="E65394" i="26"/>
  <c r="E65393" i="26"/>
  <c r="E65392" i="26"/>
  <c r="E65391" i="26"/>
  <c r="E65390" i="26"/>
  <c r="E65389" i="26"/>
  <c r="E65388" i="26"/>
  <c r="E65387" i="26"/>
  <c r="E65386" i="26"/>
  <c r="E65385" i="26"/>
  <c r="E65384" i="26"/>
  <c r="E65383" i="26"/>
  <c r="E65382" i="26"/>
  <c r="E65381" i="26"/>
  <c r="E65380" i="26"/>
  <c r="H98" i="26"/>
  <c r="H97" i="26" s="1"/>
  <c r="G98" i="26"/>
  <c r="G97" i="26" s="1"/>
  <c r="F98" i="26"/>
  <c r="F97" i="26" s="1"/>
  <c r="Q96" i="26"/>
  <c r="O96" i="26"/>
  <c r="CG15" i="26" l="1"/>
  <c r="H15" i="26"/>
  <c r="CJ15" i="26"/>
  <c r="AR15" i="26"/>
  <c r="I15" i="26"/>
  <c r="L15" i="26"/>
  <c r="M15" i="26"/>
  <c r="CR15" i="26"/>
  <c r="AS15" i="26"/>
  <c r="BA15" i="26"/>
  <c r="BD15" i="26"/>
  <c r="CS15" i="26"/>
  <c r="P15" i="26"/>
  <c r="BE15" i="26"/>
  <c r="CV15" i="26"/>
  <c r="CY15" i="26"/>
  <c r="AB15" i="26"/>
  <c r="CF15" i="26"/>
  <c r="Q15" i="26"/>
  <c r="AV15" i="26"/>
  <c r="BH15" i="26"/>
  <c r="CK15" i="26"/>
  <c r="T15" i="26"/>
  <c r="AW15" i="26"/>
  <c r="BM15" i="26"/>
  <c r="CN15" i="26"/>
  <c r="Y15" i="26"/>
  <c r="AZ15" i="26"/>
  <c r="BP15" i="26"/>
  <c r="CO15" i="26"/>
  <c r="U15" i="26"/>
  <c r="BI15" i="26"/>
  <c r="CW15" i="26"/>
  <c r="X15" i="26"/>
  <c r="BL15" i="26"/>
  <c r="BQ15" i="26"/>
  <c r="AF15" i="26"/>
  <c r="BT15" i="26"/>
  <c r="AJ15" i="26"/>
  <c r="BX15" i="26"/>
  <c r="E15" i="26"/>
  <c r="AC15" i="26"/>
  <c r="BU15" i="26"/>
  <c r="BY15" i="26"/>
  <c r="F15" i="26"/>
  <c r="AN15" i="26"/>
  <c r="CB15" i="26"/>
  <c r="AG15" i="26"/>
  <c r="AK15" i="26"/>
  <c r="AO15" i="26"/>
  <c r="J15" i="26"/>
  <c r="N15" i="26"/>
  <c r="R15" i="26"/>
  <c r="V15" i="26"/>
  <c r="Z15" i="26"/>
  <c r="AD15" i="26"/>
  <c r="AH15" i="26"/>
  <c r="AL15" i="26"/>
  <c r="AP15" i="26"/>
  <c r="AT15" i="26"/>
  <c r="AX15" i="26"/>
  <c r="BB15" i="26"/>
  <c r="BF15" i="26"/>
  <c r="BJ15" i="26"/>
  <c r="BN15" i="26"/>
  <c r="BR15" i="26"/>
  <c r="BV15" i="26"/>
  <c r="BZ15" i="26"/>
  <c r="CD15" i="26"/>
  <c r="CH15" i="26"/>
  <c r="CL15" i="26"/>
  <c r="CP15" i="26"/>
  <c r="CT15" i="26"/>
  <c r="CX15" i="26"/>
  <c r="G15" i="26"/>
  <c r="K15" i="26"/>
  <c r="O15" i="26"/>
  <c r="S15" i="26"/>
  <c r="W15" i="26"/>
  <c r="AA15" i="26"/>
  <c r="AE15" i="26"/>
  <c r="AI15" i="26"/>
  <c r="AM15" i="26"/>
  <c r="AQ15" i="26"/>
  <c r="AU15" i="26"/>
  <c r="AY15" i="26"/>
  <c r="BC15" i="26"/>
  <c r="BG15" i="26"/>
  <c r="BK15" i="26"/>
  <c r="BO15" i="26"/>
  <c r="BS15" i="26"/>
  <c r="BW15" i="26"/>
  <c r="CA15" i="26"/>
  <c r="CE15" i="26"/>
  <c r="CI15" i="26"/>
  <c r="CM15" i="26"/>
  <c r="CQ15" i="26"/>
  <c r="CU15" i="26"/>
  <c r="H38" i="24"/>
  <c r="H40" i="24"/>
  <c r="CZ83" i="26" l="1"/>
  <c r="G19" i="24"/>
  <c r="G27" i="24"/>
  <c r="G23" i="24"/>
  <c r="D17" i="24"/>
  <c r="D23" i="24"/>
  <c r="G29" i="24" l="1"/>
  <c r="H9" i="7" l="1"/>
  <c r="H8" i="7"/>
  <c r="H7" i="7"/>
  <c r="C9" i="7"/>
  <c r="C8" i="7"/>
  <c r="C7" i="7"/>
  <c r="C6" i="7"/>
  <c r="H22" i="9" l="1"/>
  <c r="B22" i="9"/>
  <c r="C71" i="14" l="1"/>
  <c r="U18" i="11" l="1"/>
  <c r="T18" i="11"/>
  <c r="S18" i="11"/>
  <c r="Q18" i="11"/>
  <c r="H11" i="11" l="1"/>
  <c r="E12" i="11"/>
  <c r="E11" i="11"/>
  <c r="T25" i="11"/>
  <c r="H22" i="11"/>
  <c r="V25" i="11" l="1"/>
  <c r="V18" i="11" s="1"/>
  <c r="P19" i="11" s="1"/>
  <c r="Q19" i="11" s="1"/>
  <c r="R21" i="11"/>
  <c r="O21" i="11"/>
  <c r="L21" i="11"/>
  <c r="D31" i="14"/>
  <c r="K31" i="14" s="1"/>
  <c r="F76" i="10"/>
  <c r="F77" i="10"/>
  <c r="F78" i="10"/>
  <c r="F79" i="10"/>
  <c r="F80" i="10"/>
  <c r="F81" i="10"/>
  <c r="F75" i="10"/>
  <c r="F41" i="23" l="1"/>
  <c r="F42" i="23"/>
  <c r="F43" i="23"/>
  <c r="F44" i="23"/>
  <c r="F45" i="23"/>
  <c r="F46" i="23"/>
  <c r="F47" i="23"/>
  <c r="F48" i="23"/>
  <c r="F49" i="23"/>
  <c r="F50" i="23"/>
  <c r="F51" i="23"/>
  <c r="F52" i="23"/>
  <c r="F53" i="23"/>
  <c r="F54" i="23"/>
  <c r="F55" i="23"/>
  <c r="F56" i="23"/>
  <c r="F57" i="23"/>
  <c r="F58" i="23"/>
  <c r="F59" i="23"/>
  <c r="F60" i="23"/>
  <c r="F61" i="23"/>
  <c r="F62" i="23"/>
  <c r="F63" i="23"/>
  <c r="F64" i="23"/>
  <c r="F40" i="23"/>
  <c r="D40" i="23"/>
  <c r="D71" i="14" l="1"/>
  <c r="M18" i="19"/>
  <c r="AQ5" i="15" l="1"/>
  <c r="AQ6" i="15"/>
  <c r="AQ7" i="15"/>
  <c r="AQ8" i="15"/>
  <c r="AQ9" i="15"/>
  <c r="AQ10" i="15"/>
  <c r="AQ11" i="15"/>
  <c r="AQ12" i="15"/>
  <c r="AQ13" i="15"/>
  <c r="AQ14" i="15"/>
  <c r="AQ15" i="15"/>
  <c r="AQ16" i="15"/>
  <c r="AQ17" i="15"/>
  <c r="AQ18" i="15"/>
  <c r="AQ19" i="15"/>
  <c r="AQ20" i="15"/>
  <c r="AQ21" i="15"/>
  <c r="AQ22" i="15"/>
  <c r="AQ23" i="15"/>
  <c r="AQ24" i="15"/>
  <c r="AQ25" i="15"/>
  <c r="AQ26" i="15"/>
  <c r="AQ27" i="15"/>
  <c r="AQ28" i="15"/>
  <c r="AQ29" i="15"/>
  <c r="AQ30" i="15"/>
  <c r="AQ31" i="15"/>
  <c r="AQ32" i="15"/>
  <c r="AQ33" i="15"/>
  <c r="AQ34" i="15"/>
  <c r="AQ35" i="15"/>
  <c r="AQ36" i="15"/>
  <c r="AQ37" i="15"/>
  <c r="AQ38" i="15"/>
  <c r="AQ39" i="15"/>
  <c r="AQ40" i="15"/>
  <c r="AQ41" i="15"/>
  <c r="AQ42" i="15"/>
  <c r="AQ43" i="15"/>
  <c r="AQ44" i="15"/>
  <c r="AQ45" i="15"/>
  <c r="AQ46" i="15"/>
  <c r="AQ47" i="15"/>
  <c r="AQ48" i="15"/>
  <c r="AQ49" i="15"/>
  <c r="AQ50" i="15"/>
  <c r="AQ51" i="15"/>
  <c r="AQ52" i="15"/>
  <c r="AQ53" i="15"/>
  <c r="AQ54" i="15"/>
  <c r="AQ55" i="15"/>
  <c r="AQ56" i="15"/>
  <c r="AQ57" i="15"/>
  <c r="AQ58" i="15"/>
  <c r="AQ59" i="15"/>
  <c r="AQ60" i="15"/>
  <c r="AQ61" i="15"/>
  <c r="AQ62" i="15"/>
  <c r="AQ63" i="15"/>
  <c r="AQ64" i="15"/>
  <c r="AQ65" i="15"/>
  <c r="AQ66" i="15"/>
  <c r="AQ67" i="15"/>
  <c r="AQ68" i="15"/>
  <c r="AQ69" i="15"/>
  <c r="AQ70" i="15"/>
  <c r="AQ71" i="15"/>
  <c r="AQ72" i="15"/>
  <c r="AQ73" i="15"/>
  <c r="AQ74" i="15"/>
  <c r="AQ75" i="15"/>
  <c r="AQ76" i="15"/>
  <c r="AQ77" i="15"/>
  <c r="AQ4" i="15"/>
  <c r="AJ4" i="15"/>
  <c r="AJ70" i="15"/>
  <c r="I54" i="14"/>
  <c r="I70" i="14" l="1"/>
  <c r="H70" i="14"/>
  <c r="D28" i="14"/>
  <c r="D27" i="14"/>
  <c r="D30" i="14"/>
  <c r="E72" i="10"/>
  <c r="F72" i="10" s="1"/>
  <c r="A22" i="23" l="1"/>
  <c r="A19" i="23"/>
  <c r="A20" i="23"/>
  <c r="A21" i="23"/>
  <c r="G14" i="24" l="1"/>
  <c r="F35" i="23"/>
  <c r="F34" i="23"/>
  <c r="F33" i="23"/>
  <c r="F32" i="23"/>
  <c r="F31" i="23"/>
  <c r="F30" i="23"/>
  <c r="F29" i="23"/>
  <c r="F28" i="23"/>
  <c r="F27" i="23"/>
  <c r="G17" i="24" l="1"/>
  <c r="G12" i="24"/>
  <c r="D12" i="24"/>
  <c r="A38" i="23"/>
  <c r="A37" i="23"/>
  <c r="A36" i="23"/>
  <c r="A35" i="23"/>
  <c r="A34" i="23"/>
  <c r="A33" i="23"/>
  <c r="A32" i="23"/>
  <c r="A31" i="23"/>
  <c r="A30" i="23"/>
  <c r="A29" i="23"/>
  <c r="A28" i="23"/>
  <c r="A27" i="23"/>
  <c r="F18" i="23"/>
  <c r="A18" i="23"/>
  <c r="F17" i="23"/>
  <c r="A17" i="23"/>
  <c r="F16" i="23"/>
  <c r="A16" i="23"/>
  <c r="F15" i="23"/>
  <c r="A15" i="23"/>
  <c r="F14" i="23"/>
  <c r="A14" i="23"/>
  <c r="F13" i="23"/>
  <c r="A13" i="23"/>
  <c r="F12" i="23"/>
  <c r="A12" i="23"/>
  <c r="F11" i="23"/>
  <c r="A11" i="23"/>
  <c r="F10" i="23"/>
  <c r="A10" i="23"/>
  <c r="F9" i="23"/>
  <c r="A9" i="23"/>
  <c r="F8" i="23"/>
  <c r="A8" i="23"/>
  <c r="F7" i="23"/>
  <c r="A7" i="23"/>
  <c r="F6" i="23"/>
  <c r="A6" i="23"/>
  <c r="F5" i="23"/>
  <c r="A5" i="23"/>
  <c r="F4" i="23"/>
  <c r="A4" i="23"/>
  <c r="F3" i="23"/>
  <c r="A3" i="23"/>
  <c r="D33" i="24" l="1"/>
  <c r="G21" i="24"/>
  <c r="G16" i="24"/>
  <c r="G31" i="24" l="1"/>
  <c r="J39" i="14"/>
  <c r="J38" i="14"/>
  <c r="J42" i="14"/>
  <c r="N23" i="11" l="1"/>
  <c r="S22" i="11" l="1"/>
  <c r="I19" i="11"/>
  <c r="L25" i="17" l="1"/>
  <c r="L26" i="17"/>
  <c r="L28" i="17"/>
  <c r="L29" i="17"/>
  <c r="L30" i="17"/>
  <c r="L31" i="17"/>
  <c r="L32" i="17"/>
  <c r="L33" i="17"/>
  <c r="L34" i="17"/>
  <c r="L35" i="17"/>
  <c r="L36" i="17"/>
  <c r="L39" i="17"/>
  <c r="L40" i="17"/>
  <c r="L41" i="17"/>
  <c r="L42" i="17"/>
  <c r="L43" i="17"/>
  <c r="L44" i="17"/>
  <c r="H12" i="11" l="1"/>
  <c r="V22" i="11"/>
  <c r="U23" i="11"/>
  <c r="T23" i="11"/>
  <c r="T22" i="11"/>
  <c r="R23" i="11"/>
  <c r="Q23" i="11"/>
  <c r="O23" i="11"/>
  <c r="Q22" i="11"/>
  <c r="L19" i="11"/>
  <c r="J22" i="11"/>
  <c r="I23" i="11"/>
  <c r="E16" i="11"/>
  <c r="D16" i="11"/>
  <c r="C16" i="11"/>
  <c r="B16" i="11"/>
  <c r="A37" i="20"/>
  <c r="A36" i="20"/>
  <c r="A35" i="20"/>
  <c r="A34" i="20"/>
  <c r="A33" i="20"/>
  <c r="A32" i="20"/>
  <c r="A31" i="20"/>
  <c r="A30" i="20"/>
  <c r="A29" i="20"/>
  <c r="A28" i="20"/>
  <c r="A27" i="20"/>
  <c r="A26" i="20"/>
  <c r="F18" i="20"/>
  <c r="A18" i="20"/>
  <c r="F17" i="20"/>
  <c r="A17" i="20"/>
  <c r="F16" i="20"/>
  <c r="A16" i="20"/>
  <c r="F15" i="20"/>
  <c r="A15" i="20"/>
  <c r="F14" i="20"/>
  <c r="A14" i="20"/>
  <c r="F13" i="20"/>
  <c r="A13" i="20"/>
  <c r="F12" i="20"/>
  <c r="A12" i="20"/>
  <c r="F11" i="20"/>
  <c r="A11" i="20"/>
  <c r="F10" i="20"/>
  <c r="A10" i="20"/>
  <c r="F9" i="20"/>
  <c r="A9" i="20"/>
  <c r="F8" i="20"/>
  <c r="A8" i="20"/>
  <c r="F7" i="20"/>
  <c r="A7" i="20"/>
  <c r="F6" i="20"/>
  <c r="A6" i="20"/>
  <c r="F5" i="20"/>
  <c r="A5" i="20"/>
  <c r="F4" i="20"/>
  <c r="A4" i="20"/>
  <c r="F3" i="20"/>
  <c r="A3" i="20"/>
  <c r="AT99" i="19"/>
  <c r="AT96" i="19"/>
  <c r="Q96" i="19"/>
  <c r="O96" i="19"/>
  <c r="M96" i="19"/>
  <c r="G96" i="19"/>
  <c r="F96" i="19"/>
  <c r="D96" i="19"/>
  <c r="Q95" i="19"/>
  <c r="O95" i="19"/>
  <c r="M95" i="19"/>
  <c r="D49" i="10" s="1"/>
  <c r="G95" i="19"/>
  <c r="H95" i="19" s="1"/>
  <c r="F95" i="19"/>
  <c r="D95" i="19"/>
  <c r="Q94" i="19"/>
  <c r="O94" i="19"/>
  <c r="M94" i="19"/>
  <c r="D48" i="10" s="1"/>
  <c r="G94" i="19"/>
  <c r="H94" i="19" s="1"/>
  <c r="F94" i="19"/>
  <c r="D94" i="19"/>
  <c r="Q93" i="19"/>
  <c r="O93" i="19"/>
  <c r="M93" i="19"/>
  <c r="D46" i="10" s="1"/>
  <c r="G93" i="19"/>
  <c r="H93" i="19" s="1"/>
  <c r="F93" i="19"/>
  <c r="D93" i="19"/>
  <c r="Q92" i="19"/>
  <c r="O92" i="19"/>
  <c r="M92" i="19"/>
  <c r="D47" i="10" s="1"/>
  <c r="G92" i="19"/>
  <c r="H92" i="19" s="1"/>
  <c r="F92" i="19"/>
  <c r="D92" i="19"/>
  <c r="Q91" i="19"/>
  <c r="O91" i="19"/>
  <c r="D45" i="10"/>
  <c r="G91" i="19"/>
  <c r="H91" i="19" s="1"/>
  <c r="F91" i="19"/>
  <c r="D91" i="19"/>
  <c r="Q90" i="19"/>
  <c r="O90" i="19"/>
  <c r="M90" i="19"/>
  <c r="G90" i="19"/>
  <c r="H90" i="19" s="1"/>
  <c r="F90" i="19"/>
  <c r="D90" i="19"/>
  <c r="Q89" i="19"/>
  <c r="O89" i="19"/>
  <c r="M89" i="19"/>
  <c r="G89" i="19"/>
  <c r="H89" i="19" s="1"/>
  <c r="F89" i="19"/>
  <c r="D89" i="19"/>
  <c r="Q88" i="19"/>
  <c r="O88" i="19"/>
  <c r="M88" i="19"/>
  <c r="D44" i="10" s="1"/>
  <c r="G88" i="19"/>
  <c r="H88" i="19" s="1"/>
  <c r="F88" i="19"/>
  <c r="D88" i="19"/>
  <c r="Q83" i="19"/>
  <c r="O83" i="19"/>
  <c r="M83" i="19"/>
  <c r="G83" i="19"/>
  <c r="H83" i="19" s="1"/>
  <c r="F83" i="19"/>
  <c r="D83" i="19"/>
  <c r="Q82" i="19"/>
  <c r="O82" i="19"/>
  <c r="M82" i="19"/>
  <c r="G82" i="19"/>
  <c r="H82" i="19" s="1"/>
  <c r="F82" i="19"/>
  <c r="D82" i="19"/>
  <c r="Q81" i="19"/>
  <c r="O81" i="19"/>
  <c r="M81" i="19"/>
  <c r="G81" i="19"/>
  <c r="H81" i="19" s="1"/>
  <c r="F81" i="19"/>
  <c r="D81" i="19"/>
  <c r="Q80" i="19"/>
  <c r="O80" i="19"/>
  <c r="M80" i="19"/>
  <c r="G80" i="19"/>
  <c r="H80" i="19" s="1"/>
  <c r="F80" i="19"/>
  <c r="D80" i="19"/>
  <c r="Q79" i="19"/>
  <c r="O79" i="19"/>
  <c r="M79" i="19"/>
  <c r="G79" i="19"/>
  <c r="H79" i="19" s="1"/>
  <c r="F79" i="19"/>
  <c r="D79" i="19"/>
  <c r="Q78" i="19"/>
  <c r="O78" i="19"/>
  <c r="M78" i="19"/>
  <c r="G78" i="19"/>
  <c r="H78" i="19" s="1"/>
  <c r="F78" i="19"/>
  <c r="D78" i="19"/>
  <c r="Q77" i="19"/>
  <c r="O77" i="19"/>
  <c r="M77" i="19"/>
  <c r="G77" i="19"/>
  <c r="H77" i="19" s="1"/>
  <c r="F77" i="19"/>
  <c r="D77" i="19"/>
  <c r="Q76" i="19"/>
  <c r="O76" i="19"/>
  <c r="M76" i="19"/>
  <c r="G76" i="19"/>
  <c r="H76" i="19" s="1"/>
  <c r="F76" i="19"/>
  <c r="D76" i="19"/>
  <c r="Q75" i="19"/>
  <c r="O75" i="19"/>
  <c r="M75" i="19"/>
  <c r="G75" i="19"/>
  <c r="H75" i="19" s="1"/>
  <c r="F75" i="19"/>
  <c r="D75" i="19"/>
  <c r="Q74" i="19"/>
  <c r="O74" i="19"/>
  <c r="M74" i="19"/>
  <c r="G74" i="19"/>
  <c r="H74" i="19" s="1"/>
  <c r="F74" i="19"/>
  <c r="D74" i="19"/>
  <c r="Q73" i="19"/>
  <c r="O73" i="19"/>
  <c r="M73" i="19"/>
  <c r="G73" i="19"/>
  <c r="H73" i="19" s="1"/>
  <c r="F73" i="19"/>
  <c r="D73" i="19"/>
  <c r="Q72" i="19"/>
  <c r="O72" i="19"/>
  <c r="M72" i="19"/>
  <c r="G72" i="19"/>
  <c r="H72" i="19" s="1"/>
  <c r="F72" i="19"/>
  <c r="D72" i="19"/>
  <c r="Q71" i="19"/>
  <c r="O71" i="19"/>
  <c r="M71" i="19"/>
  <c r="G71" i="19"/>
  <c r="H71" i="19" s="1"/>
  <c r="F71" i="19"/>
  <c r="D71" i="19"/>
  <c r="Q70" i="19"/>
  <c r="O70" i="19"/>
  <c r="M70" i="19"/>
  <c r="G70" i="19"/>
  <c r="H70" i="19" s="1"/>
  <c r="F70" i="19"/>
  <c r="D70" i="19"/>
  <c r="Q69" i="19"/>
  <c r="O69" i="19"/>
  <c r="M69" i="19"/>
  <c r="G69" i="19"/>
  <c r="H69" i="19" s="1"/>
  <c r="F69" i="19"/>
  <c r="D69" i="19"/>
  <c r="Q68" i="19"/>
  <c r="O68" i="19"/>
  <c r="M68" i="19"/>
  <c r="G68" i="19"/>
  <c r="H68" i="19" s="1"/>
  <c r="F68" i="19"/>
  <c r="D68" i="19"/>
  <c r="Q67" i="19"/>
  <c r="O67" i="19"/>
  <c r="M67" i="19"/>
  <c r="G67" i="19"/>
  <c r="H67" i="19" s="1"/>
  <c r="F67" i="19"/>
  <c r="D67" i="19"/>
  <c r="Q66" i="19"/>
  <c r="O66" i="19"/>
  <c r="M66" i="19"/>
  <c r="G66" i="19"/>
  <c r="H66" i="19" s="1"/>
  <c r="F66" i="19"/>
  <c r="D66" i="19"/>
  <c r="Q65" i="19"/>
  <c r="O65" i="19"/>
  <c r="M65" i="19"/>
  <c r="G65" i="19"/>
  <c r="H65" i="19" s="1"/>
  <c r="F65" i="19"/>
  <c r="D65" i="19"/>
  <c r="Q64" i="19"/>
  <c r="O64" i="19"/>
  <c r="M64" i="19"/>
  <c r="G64" i="19"/>
  <c r="H64" i="19" s="1"/>
  <c r="F64" i="19"/>
  <c r="D64" i="19"/>
  <c r="Q63" i="19"/>
  <c r="O63" i="19"/>
  <c r="M63" i="19"/>
  <c r="G63" i="19"/>
  <c r="H63" i="19" s="1"/>
  <c r="F63" i="19"/>
  <c r="D63" i="19"/>
  <c r="Q62" i="19"/>
  <c r="O62" i="19"/>
  <c r="M62" i="19"/>
  <c r="G62" i="19"/>
  <c r="H62" i="19" s="1"/>
  <c r="F62" i="19"/>
  <c r="D62" i="19"/>
  <c r="Q61" i="19"/>
  <c r="O61" i="19"/>
  <c r="M61" i="19"/>
  <c r="G61" i="19"/>
  <c r="H61" i="19" s="1"/>
  <c r="F61" i="19"/>
  <c r="D61" i="19"/>
  <c r="Q60" i="19"/>
  <c r="O60" i="19"/>
  <c r="M60" i="19"/>
  <c r="G60" i="19"/>
  <c r="H60" i="19" s="1"/>
  <c r="F60" i="19"/>
  <c r="D60" i="19"/>
  <c r="Q59" i="19"/>
  <c r="O59" i="19"/>
  <c r="M59" i="19"/>
  <c r="G59" i="19"/>
  <c r="H59" i="19" s="1"/>
  <c r="F59" i="19"/>
  <c r="D59" i="19"/>
  <c r="Q58" i="19"/>
  <c r="O58" i="19"/>
  <c r="M58" i="19"/>
  <c r="G58" i="19"/>
  <c r="H58" i="19" s="1"/>
  <c r="F58" i="19"/>
  <c r="D58" i="19"/>
  <c r="Q57" i="19"/>
  <c r="O57" i="19"/>
  <c r="M57" i="19"/>
  <c r="G57" i="19"/>
  <c r="H57" i="19" s="1"/>
  <c r="F57" i="19"/>
  <c r="D57" i="19"/>
  <c r="Q56" i="19"/>
  <c r="O56" i="19"/>
  <c r="M56" i="19"/>
  <c r="G56" i="19"/>
  <c r="H56" i="19" s="1"/>
  <c r="F56" i="19"/>
  <c r="D56" i="19"/>
  <c r="Q55" i="19"/>
  <c r="O55" i="19"/>
  <c r="M55" i="19"/>
  <c r="G55" i="19"/>
  <c r="H55" i="19" s="1"/>
  <c r="F55" i="19"/>
  <c r="D55" i="19"/>
  <c r="Q54" i="19"/>
  <c r="O54" i="19"/>
  <c r="M54" i="19"/>
  <c r="G54" i="19"/>
  <c r="H54" i="19" s="1"/>
  <c r="F54" i="19"/>
  <c r="D54" i="19"/>
  <c r="Q53" i="19"/>
  <c r="O53" i="19"/>
  <c r="M53" i="19"/>
  <c r="G53" i="19"/>
  <c r="H53" i="19" s="1"/>
  <c r="F53" i="19"/>
  <c r="D53" i="19"/>
  <c r="Q52" i="19"/>
  <c r="O52" i="19"/>
  <c r="M52" i="19"/>
  <c r="G52" i="19"/>
  <c r="H52" i="19" s="1"/>
  <c r="F52" i="19"/>
  <c r="D52" i="19"/>
  <c r="Q51" i="19"/>
  <c r="O51" i="19"/>
  <c r="M51" i="19"/>
  <c r="G51" i="19"/>
  <c r="H51" i="19" s="1"/>
  <c r="F51" i="19"/>
  <c r="D51" i="19"/>
  <c r="Q50" i="19"/>
  <c r="O50" i="19"/>
  <c r="M50" i="19"/>
  <c r="G50" i="19"/>
  <c r="H50" i="19" s="1"/>
  <c r="F50" i="19"/>
  <c r="D50" i="19"/>
  <c r="Q49" i="19"/>
  <c r="O49" i="19"/>
  <c r="M49" i="19"/>
  <c r="G49" i="19"/>
  <c r="H49" i="19" s="1"/>
  <c r="F49" i="19"/>
  <c r="D49" i="19"/>
  <c r="AT44" i="19"/>
  <c r="O44" i="19"/>
  <c r="O43" i="19"/>
  <c r="M43" i="19"/>
  <c r="G43" i="19"/>
  <c r="H43" i="19" s="1"/>
  <c r="F43" i="19"/>
  <c r="D43" i="19"/>
  <c r="O42" i="19"/>
  <c r="M42" i="19"/>
  <c r="G42" i="19"/>
  <c r="H42" i="19" s="1"/>
  <c r="F42" i="19"/>
  <c r="D42" i="19"/>
  <c r="O41" i="19"/>
  <c r="M41" i="19"/>
  <c r="G41" i="19"/>
  <c r="H41" i="19" s="1"/>
  <c r="F41" i="19"/>
  <c r="D41" i="19"/>
  <c r="O40" i="19"/>
  <c r="M40" i="19"/>
  <c r="G40" i="19"/>
  <c r="H40" i="19" s="1"/>
  <c r="F40" i="19"/>
  <c r="D40" i="19"/>
  <c r="O39" i="19"/>
  <c r="M39" i="19"/>
  <c r="G39" i="19"/>
  <c r="H39" i="19" s="1"/>
  <c r="F39" i="19"/>
  <c r="D39" i="19"/>
  <c r="O38" i="19"/>
  <c r="M38" i="19"/>
  <c r="G38" i="19"/>
  <c r="H38" i="19" s="1"/>
  <c r="F38" i="19"/>
  <c r="D38" i="19"/>
  <c r="O37" i="19"/>
  <c r="M37" i="19"/>
  <c r="G37" i="19"/>
  <c r="H37" i="19" s="1"/>
  <c r="F37" i="19"/>
  <c r="D37" i="19"/>
  <c r="O36" i="19"/>
  <c r="M36" i="19"/>
  <c r="G36" i="19"/>
  <c r="H36" i="19" s="1"/>
  <c r="F36" i="19"/>
  <c r="D36" i="19"/>
  <c r="O35" i="19"/>
  <c r="M35" i="19"/>
  <c r="G35" i="19"/>
  <c r="H35" i="19" s="1"/>
  <c r="F35" i="19"/>
  <c r="D35" i="19"/>
  <c r="O34" i="19"/>
  <c r="M34" i="19"/>
  <c r="G34" i="19"/>
  <c r="H34" i="19" s="1"/>
  <c r="F34" i="19"/>
  <c r="D34" i="19"/>
  <c r="O33" i="19"/>
  <c r="M33" i="19"/>
  <c r="G33" i="19"/>
  <c r="H33" i="19" s="1"/>
  <c r="F33" i="19"/>
  <c r="D33" i="19"/>
  <c r="O32" i="19"/>
  <c r="M32" i="19"/>
  <c r="G32" i="19"/>
  <c r="H32" i="19" s="1"/>
  <c r="F32" i="19"/>
  <c r="D32" i="19"/>
  <c r="O31" i="19"/>
  <c r="M31" i="19"/>
  <c r="G31" i="19"/>
  <c r="H31" i="19" s="1"/>
  <c r="F31" i="19"/>
  <c r="D31" i="19"/>
  <c r="O30" i="19"/>
  <c r="M30" i="19"/>
  <c r="G30" i="19"/>
  <c r="H30" i="19" s="1"/>
  <c r="F30" i="19"/>
  <c r="D30" i="19"/>
  <c r="O29" i="19"/>
  <c r="M29" i="19"/>
  <c r="G29" i="19"/>
  <c r="H29" i="19" s="1"/>
  <c r="F29" i="19"/>
  <c r="D29" i="19"/>
  <c r="O28" i="19"/>
  <c r="M28" i="19"/>
  <c r="G28" i="19"/>
  <c r="H28" i="19" s="1"/>
  <c r="F28" i="19"/>
  <c r="D28" i="19"/>
  <c r="O27" i="19"/>
  <c r="M27" i="19"/>
  <c r="G27" i="19"/>
  <c r="H27" i="19" s="1"/>
  <c r="F27" i="19"/>
  <c r="D27" i="19"/>
  <c r="O26" i="19"/>
  <c r="M26" i="19"/>
  <c r="G26" i="19"/>
  <c r="H26" i="19" s="1"/>
  <c r="F26" i="19"/>
  <c r="D26" i="19"/>
  <c r="O25" i="19"/>
  <c r="M25" i="19"/>
  <c r="G25" i="19"/>
  <c r="H25" i="19" s="1"/>
  <c r="F25" i="19"/>
  <c r="D25" i="19"/>
  <c r="O24" i="19"/>
  <c r="M24" i="19"/>
  <c r="G24" i="19"/>
  <c r="H24" i="19" s="1"/>
  <c r="F24" i="19"/>
  <c r="D24" i="19"/>
  <c r="O23" i="19"/>
  <c r="M23" i="19"/>
  <c r="G23" i="19"/>
  <c r="H23" i="19" s="1"/>
  <c r="F23" i="19"/>
  <c r="D23" i="19"/>
  <c r="O22" i="19"/>
  <c r="M22" i="19"/>
  <c r="G22" i="19"/>
  <c r="H22" i="19" s="1"/>
  <c r="F22" i="19"/>
  <c r="D22" i="19"/>
  <c r="O21" i="19"/>
  <c r="M21" i="19"/>
  <c r="G21" i="19"/>
  <c r="H21" i="19" s="1"/>
  <c r="F21" i="19"/>
  <c r="D21" i="19"/>
  <c r="O20" i="19"/>
  <c r="M20" i="19"/>
  <c r="G20" i="19"/>
  <c r="H20" i="19" s="1"/>
  <c r="F20" i="19"/>
  <c r="D20" i="19"/>
  <c r="O19" i="19"/>
  <c r="M19" i="19"/>
  <c r="G19" i="19"/>
  <c r="H19" i="19" s="1"/>
  <c r="F19" i="19"/>
  <c r="D19" i="19"/>
  <c r="O18" i="19"/>
  <c r="G18" i="19"/>
  <c r="H18" i="19" s="1"/>
  <c r="F18" i="19"/>
  <c r="D18" i="19"/>
  <c r="AT24" i="19" l="1"/>
  <c r="AT34" i="19"/>
  <c r="AT40" i="19"/>
  <c r="AT27" i="19"/>
  <c r="AT37" i="19"/>
  <c r="AT21" i="19"/>
  <c r="AT43" i="19"/>
  <c r="AT41" i="19"/>
  <c r="AT25" i="19"/>
  <c r="AT32" i="19"/>
  <c r="AT26" i="19"/>
  <c r="AT29" i="19"/>
  <c r="AT33" i="19"/>
  <c r="AT35" i="19"/>
  <c r="AT42" i="19"/>
  <c r="AT52" i="19"/>
  <c r="AT64" i="19"/>
  <c r="AT68" i="19"/>
  <c r="AT80" i="19"/>
  <c r="AT92" i="19"/>
  <c r="AT55" i="19"/>
  <c r="AT59" i="19"/>
  <c r="AT71" i="19"/>
  <c r="AT30" i="19"/>
  <c r="AT38" i="19"/>
  <c r="AT50" i="19"/>
  <c r="AT54" i="19"/>
  <c r="AT58" i="19"/>
  <c r="AT62" i="19"/>
  <c r="AT66" i="19"/>
  <c r="AT70" i="19"/>
  <c r="AT74" i="19"/>
  <c r="AT78" i="19"/>
  <c r="AT82" i="19"/>
  <c r="AT90" i="19"/>
  <c r="AT94" i="19"/>
  <c r="AT18" i="19"/>
  <c r="AT56" i="19"/>
  <c r="AT60" i="19"/>
  <c r="AT72" i="19"/>
  <c r="AT76" i="19"/>
  <c r="AT88" i="19"/>
  <c r="AT51" i="19"/>
  <c r="AT63" i="19"/>
  <c r="AT67" i="19"/>
  <c r="AT19" i="19"/>
  <c r="AT22" i="19"/>
  <c r="AT20" i="19"/>
  <c r="AT23" i="19"/>
  <c r="AT28" i="19"/>
  <c r="AT31" i="19"/>
  <c r="AT36" i="19"/>
  <c r="AT39" i="19"/>
  <c r="AT49" i="19"/>
  <c r="AT53" i="19"/>
  <c r="AT57" i="19"/>
  <c r="AT61" i="19"/>
  <c r="AT65" i="19"/>
  <c r="AT69" i="19"/>
  <c r="AT73" i="19"/>
  <c r="AT75" i="19"/>
  <c r="AT77" i="19"/>
  <c r="AT79" i="19"/>
  <c r="AT81" i="19"/>
  <c r="AT83" i="19"/>
  <c r="AT89" i="19"/>
  <c r="AT91" i="19"/>
  <c r="AT93" i="19"/>
  <c r="AT95" i="19"/>
  <c r="J40" i="14" l="1"/>
  <c r="J43" i="14"/>
  <c r="J49" i="14"/>
  <c r="J52" i="14"/>
  <c r="J53" i="14"/>
  <c r="J50" i="14"/>
  <c r="J45" i="14"/>
  <c r="J48" i="14"/>
  <c r="J51" i="14"/>
  <c r="J46" i="14"/>
  <c r="J44" i="14"/>
  <c r="J47" i="14"/>
  <c r="J41" i="14"/>
  <c r="L46" i="17"/>
  <c r="L45" i="17"/>
  <c r="H14" i="17"/>
  <c r="D14" i="17" s="1"/>
  <c r="G12" i="17"/>
  <c r="C12" i="17" s="1"/>
  <c r="D15" i="17"/>
  <c r="G15" i="17"/>
  <c r="C15" i="17" s="1"/>
  <c r="G14" i="17"/>
  <c r="C14" i="17" s="1"/>
  <c r="H13" i="17"/>
  <c r="D13" i="17" s="1"/>
  <c r="G13" i="17"/>
  <c r="C13" i="17" s="1"/>
  <c r="H12" i="17"/>
  <c r="D12" i="17" s="1"/>
  <c r="C16" i="17" l="1"/>
  <c r="E13" i="17" s="1"/>
  <c r="D16" i="17"/>
  <c r="F12" i="17" s="1"/>
  <c r="E15" i="17" l="1"/>
  <c r="E12" i="17"/>
  <c r="G16" i="17"/>
  <c r="K13" i="17" s="1"/>
  <c r="F13" i="17"/>
  <c r="F14" i="17"/>
  <c r="E14" i="17"/>
  <c r="F15" i="17"/>
  <c r="H16" i="17" s="1"/>
  <c r="K14" i="17" s="1"/>
  <c r="E16" i="17" l="1"/>
  <c r="F16" i="17"/>
  <c r="L14" i="17"/>
  <c r="L13" i="17"/>
  <c r="AJ5" i="15" l="1"/>
  <c r="AJ6" i="15"/>
  <c r="AJ7" i="15"/>
  <c r="AJ8" i="15"/>
  <c r="AJ9" i="15"/>
  <c r="AJ10" i="15"/>
  <c r="AJ11" i="15"/>
  <c r="AJ12" i="15"/>
  <c r="AJ13" i="15"/>
  <c r="AJ14" i="15"/>
  <c r="AJ15" i="15"/>
  <c r="AJ16" i="15"/>
  <c r="AJ17" i="15"/>
  <c r="AJ18" i="15"/>
  <c r="AJ19" i="15"/>
  <c r="AJ20" i="15"/>
  <c r="AJ21" i="15"/>
  <c r="AJ22" i="15"/>
  <c r="AJ23" i="15"/>
  <c r="AJ24" i="15"/>
  <c r="AJ25" i="15"/>
  <c r="AJ26" i="15"/>
  <c r="AJ27" i="15"/>
  <c r="AJ28" i="15"/>
  <c r="AJ29" i="15"/>
  <c r="AJ30" i="15"/>
  <c r="AJ31" i="15"/>
  <c r="AJ32" i="15"/>
  <c r="AJ33" i="15"/>
  <c r="AJ34" i="15"/>
  <c r="AJ35" i="15"/>
  <c r="AJ36" i="15"/>
  <c r="AJ37" i="15"/>
  <c r="AJ38" i="15"/>
  <c r="AJ39" i="15"/>
  <c r="AJ40" i="15"/>
  <c r="AJ41" i="15"/>
  <c r="AJ42" i="15"/>
  <c r="AJ43" i="15"/>
  <c r="AJ44" i="15"/>
  <c r="AJ45" i="15"/>
  <c r="AJ46" i="15"/>
  <c r="AJ47" i="15"/>
  <c r="AJ48" i="15"/>
  <c r="AJ49" i="15"/>
  <c r="AJ50" i="15"/>
  <c r="AJ51" i="15"/>
  <c r="AJ52" i="15"/>
  <c r="AJ53" i="15"/>
  <c r="AJ54" i="15"/>
  <c r="AJ55" i="15"/>
  <c r="AJ56" i="15"/>
  <c r="AJ57" i="15"/>
  <c r="AJ58" i="15"/>
  <c r="AJ59" i="15"/>
  <c r="AJ60" i="15"/>
  <c r="AJ61" i="15"/>
  <c r="AJ62" i="15"/>
  <c r="AJ63" i="15"/>
  <c r="AJ64" i="15"/>
  <c r="AJ65" i="15"/>
  <c r="AJ66" i="15"/>
  <c r="AJ67" i="15"/>
  <c r="AJ68" i="15"/>
  <c r="AJ69" i="15"/>
  <c r="AJ73" i="15"/>
  <c r="AJ74" i="15"/>
  <c r="AJ75" i="15"/>
  <c r="AJ76" i="15"/>
  <c r="AJ77" i="15"/>
  <c r="AJ72" i="15"/>
  <c r="AJ71" i="15"/>
  <c r="C78" i="14"/>
  <c r="C77" i="14"/>
  <c r="C76" i="14"/>
  <c r="C75" i="14"/>
  <c r="C74" i="14"/>
  <c r="C73" i="14"/>
  <c r="C72" i="14"/>
  <c r="K30" i="14"/>
  <c r="D78" i="14" s="1"/>
  <c r="D29" i="14"/>
  <c r="K29" i="14" s="1"/>
  <c r="D77" i="14" s="1"/>
  <c r="K28" i="14"/>
  <c r="K27" i="14"/>
  <c r="K26" i="14"/>
  <c r="K25" i="14"/>
  <c r="D24" i="14"/>
  <c r="K24" i="14" s="1"/>
  <c r="D23" i="14"/>
  <c r="K23" i="14" s="1"/>
  <c r="K22" i="14"/>
  <c r="F41" i="13"/>
  <c r="F39" i="13"/>
  <c r="F38" i="13"/>
  <c r="F37" i="13"/>
  <c r="F35" i="13"/>
  <c r="B17" i="13"/>
  <c r="H16" i="13"/>
  <c r="D16" i="13" s="1"/>
  <c r="G16" i="13"/>
  <c r="C16" i="13" s="1"/>
  <c r="H15" i="13"/>
  <c r="D15" i="13" s="1"/>
  <c r="G15" i="13"/>
  <c r="C15" i="13" s="1"/>
  <c r="H14" i="13"/>
  <c r="D14" i="13" s="1"/>
  <c r="G14" i="13"/>
  <c r="C14" i="13" s="1"/>
  <c r="H13" i="13"/>
  <c r="D13" i="13" s="1"/>
  <c r="G13" i="13"/>
  <c r="C13" i="13" s="1"/>
  <c r="F150" i="12"/>
  <c r="H122" i="12"/>
  <c r="F122" i="12"/>
  <c r="E122" i="12"/>
  <c r="C122" i="12"/>
  <c r="B13" i="12" s="1"/>
  <c r="G121" i="12"/>
  <c r="I121" i="12" s="1"/>
  <c r="G120" i="12"/>
  <c r="I120" i="12" s="1"/>
  <c r="G119" i="12"/>
  <c r="I119" i="12" s="1"/>
  <c r="G118" i="12"/>
  <c r="I118" i="12" s="1"/>
  <c r="G117" i="12"/>
  <c r="I117" i="12" s="1"/>
  <c r="G116" i="12"/>
  <c r="I116" i="12" s="1"/>
  <c r="G115" i="12"/>
  <c r="I115" i="12" s="1"/>
  <c r="G114" i="12"/>
  <c r="I114" i="12" s="1"/>
  <c r="G113" i="12"/>
  <c r="I113" i="12" s="1"/>
  <c r="G112" i="12"/>
  <c r="I112" i="12" s="1"/>
  <c r="G111" i="12"/>
  <c r="I111" i="12" s="1"/>
  <c r="G110" i="12"/>
  <c r="I110" i="12" s="1"/>
  <c r="G109" i="12"/>
  <c r="I109" i="12" s="1"/>
  <c r="G108" i="12"/>
  <c r="I108" i="12" s="1"/>
  <c r="G107" i="12"/>
  <c r="I107" i="12" s="1"/>
  <c r="G106" i="12"/>
  <c r="I106" i="12" s="1"/>
  <c r="G105" i="12"/>
  <c r="I105" i="12" s="1"/>
  <c r="G104" i="12"/>
  <c r="I104" i="12" s="1"/>
  <c r="G103" i="12"/>
  <c r="I103" i="12" s="1"/>
  <c r="G102" i="12"/>
  <c r="I102" i="12" s="1"/>
  <c r="I101" i="12"/>
  <c r="I100" i="12"/>
  <c r="I99" i="12"/>
  <c r="I98" i="12"/>
  <c r="H79" i="12"/>
  <c r="H80" i="12" s="1"/>
  <c r="F79" i="12"/>
  <c r="E79" i="12"/>
  <c r="D79" i="12"/>
  <c r="D12" i="12" s="1"/>
  <c r="E12" i="12" s="1"/>
  <c r="C79" i="12"/>
  <c r="B12" i="12" s="1"/>
  <c r="E51" i="9" s="1"/>
  <c r="G150" i="12" s="1"/>
  <c r="G78" i="12"/>
  <c r="I78" i="12" s="1"/>
  <c r="G77" i="12"/>
  <c r="I77" i="12" s="1"/>
  <c r="G76" i="12"/>
  <c r="I76" i="12" s="1"/>
  <c r="G75" i="12"/>
  <c r="I75" i="12" s="1"/>
  <c r="G74" i="12"/>
  <c r="I74" i="12" s="1"/>
  <c r="G73" i="12"/>
  <c r="I73" i="12" s="1"/>
  <c r="I72" i="12"/>
  <c r="I71" i="12"/>
  <c r="G70" i="12"/>
  <c r="I70" i="12" s="1"/>
  <c r="G69" i="12"/>
  <c r="I69" i="12" s="1"/>
  <c r="G68" i="12"/>
  <c r="I68" i="12" s="1"/>
  <c r="G67" i="12"/>
  <c r="I67" i="12" s="1"/>
  <c r="G66" i="12"/>
  <c r="I66" i="12" s="1"/>
  <c r="G65" i="12"/>
  <c r="I65" i="12" s="1"/>
  <c r="G64" i="12"/>
  <c r="I64" i="12" s="1"/>
  <c r="G63" i="12"/>
  <c r="I63" i="12" s="1"/>
  <c r="G62" i="12"/>
  <c r="I62" i="12" s="1"/>
  <c r="G61" i="12"/>
  <c r="I61" i="12" s="1"/>
  <c r="G60" i="12"/>
  <c r="I60" i="12" s="1"/>
  <c r="G59" i="12"/>
  <c r="I59" i="12" s="1"/>
  <c r="G58" i="12"/>
  <c r="I58" i="12" s="1"/>
  <c r="G57" i="12"/>
  <c r="I57" i="12" s="1"/>
  <c r="G56" i="12"/>
  <c r="I56" i="12" s="1"/>
  <c r="G55" i="12"/>
  <c r="I55" i="12" s="1"/>
  <c r="G54" i="12"/>
  <c r="I54" i="12" s="1"/>
  <c r="G53" i="12"/>
  <c r="I53" i="12" s="1"/>
  <c r="G52" i="12"/>
  <c r="I52" i="12" s="1"/>
  <c r="G51" i="12"/>
  <c r="I51" i="12" s="1"/>
  <c r="G50" i="12"/>
  <c r="I50" i="12" s="1"/>
  <c r="G49" i="12"/>
  <c r="I49" i="12" s="1"/>
  <c r="G48" i="12"/>
  <c r="I48" i="12" s="1"/>
  <c r="G47" i="12"/>
  <c r="I47" i="12" s="1"/>
  <c r="G46" i="12"/>
  <c r="I46" i="12" s="1"/>
  <c r="G45" i="12"/>
  <c r="I45" i="12" s="1"/>
  <c r="G44" i="12"/>
  <c r="I44" i="12" s="1"/>
  <c r="G43" i="12"/>
  <c r="I43" i="12" s="1"/>
  <c r="G42" i="12"/>
  <c r="I42" i="12" s="1"/>
  <c r="G41" i="12"/>
  <c r="I41" i="12" s="1"/>
  <c r="G40" i="12"/>
  <c r="I40" i="12" s="1"/>
  <c r="G39" i="12"/>
  <c r="I39" i="12" s="1"/>
  <c r="G38" i="12"/>
  <c r="I38" i="12" s="1"/>
  <c r="G37" i="12"/>
  <c r="I37" i="12" s="1"/>
  <c r="G36" i="12"/>
  <c r="I36" i="12" s="1"/>
  <c r="G35" i="12"/>
  <c r="I35" i="12" s="1"/>
  <c r="G34" i="12"/>
  <c r="I34" i="12" s="1"/>
  <c r="G33" i="12"/>
  <c r="I33" i="12" s="1"/>
  <c r="G32" i="12"/>
  <c r="I32" i="12" s="1"/>
  <c r="G31" i="12"/>
  <c r="I31" i="12" s="1"/>
  <c r="G30" i="12"/>
  <c r="I30" i="12" s="1"/>
  <c r="G29" i="12"/>
  <c r="I29" i="12" s="1"/>
  <c r="G28" i="12"/>
  <c r="I28" i="12" s="1"/>
  <c r="G27" i="12"/>
  <c r="I27" i="12" s="1"/>
  <c r="G26" i="12"/>
  <c r="I26" i="12" s="1"/>
  <c r="G25" i="12"/>
  <c r="I25" i="12" s="1"/>
  <c r="G24" i="12"/>
  <c r="D493" i="11"/>
  <c r="B493" i="11"/>
  <c r="D492" i="11"/>
  <c r="B492" i="11"/>
  <c r="D491" i="11"/>
  <c r="B491" i="11"/>
  <c r="D490" i="11"/>
  <c r="B490" i="11"/>
  <c r="D489" i="11"/>
  <c r="B489" i="11"/>
  <c r="D488" i="11"/>
  <c r="B488" i="11"/>
  <c r="D487" i="11"/>
  <c r="B487" i="11"/>
  <c r="D486" i="11"/>
  <c r="B486" i="11"/>
  <c r="D485" i="11"/>
  <c r="B485" i="11"/>
  <c r="D484" i="11"/>
  <c r="B484" i="11"/>
  <c r="D483" i="11"/>
  <c r="B483" i="11"/>
  <c r="D482" i="11"/>
  <c r="B482" i="11"/>
  <c r="D481" i="11"/>
  <c r="B481" i="11"/>
  <c r="D480" i="11"/>
  <c r="B480" i="11"/>
  <c r="D479" i="11"/>
  <c r="B479" i="11"/>
  <c r="D478" i="11"/>
  <c r="B478" i="11"/>
  <c r="D477" i="11"/>
  <c r="B477" i="11"/>
  <c r="D476" i="11"/>
  <c r="B476" i="11"/>
  <c r="D475" i="11"/>
  <c r="B475" i="11"/>
  <c r="D474" i="11"/>
  <c r="B474" i="11"/>
  <c r="D473" i="11"/>
  <c r="B473" i="11"/>
  <c r="D472" i="11"/>
  <c r="B472" i="11"/>
  <c r="D471" i="11"/>
  <c r="B471" i="11"/>
  <c r="D470" i="11"/>
  <c r="B470" i="11"/>
  <c r="D469" i="11"/>
  <c r="B469" i="11"/>
  <c r="D468" i="11"/>
  <c r="B468" i="11"/>
  <c r="D467" i="11"/>
  <c r="B467" i="11"/>
  <c r="D466" i="11"/>
  <c r="B466" i="11"/>
  <c r="D465" i="11"/>
  <c r="B465" i="11"/>
  <c r="D464" i="11"/>
  <c r="B464" i="11"/>
  <c r="D463" i="11"/>
  <c r="B463" i="11"/>
  <c r="D462" i="11"/>
  <c r="B462" i="11"/>
  <c r="D461" i="11"/>
  <c r="B461" i="11"/>
  <c r="D460" i="11"/>
  <c r="B460" i="11"/>
  <c r="D459" i="11"/>
  <c r="B459" i="11"/>
  <c r="D458" i="11"/>
  <c r="B458" i="11"/>
  <c r="D457" i="11"/>
  <c r="B457" i="11"/>
  <c r="D456" i="11"/>
  <c r="B456" i="11"/>
  <c r="D455" i="11"/>
  <c r="B455" i="11"/>
  <c r="D454" i="11"/>
  <c r="B454" i="11"/>
  <c r="T33" i="11"/>
  <c r="V33" i="11" s="1"/>
  <c r="T32" i="11"/>
  <c r="V32" i="11" s="1"/>
  <c r="T31" i="11"/>
  <c r="V31" i="11" s="1"/>
  <c r="T30" i="11"/>
  <c r="V30" i="11" s="1"/>
  <c r="T29" i="11"/>
  <c r="V29" i="11" s="1"/>
  <c r="T28" i="11"/>
  <c r="V28" i="11" s="1"/>
  <c r="T27" i="11"/>
  <c r="V27" i="11" s="1"/>
  <c r="T26" i="11"/>
  <c r="V26" i="11" s="1"/>
  <c r="D93" i="10"/>
  <c r="D92" i="10"/>
  <c r="D91" i="10"/>
  <c r="D90" i="10"/>
  <c r="D89" i="10"/>
  <c r="D88" i="10"/>
  <c r="D87" i="10"/>
  <c r="D86" i="10"/>
  <c r="F65" i="10"/>
  <c r="F64" i="10"/>
  <c r="F63" i="10"/>
  <c r="F62" i="10"/>
  <c r="F22" i="10"/>
  <c r="E22" i="10"/>
  <c r="D22" i="10"/>
  <c r="C22" i="10"/>
  <c r="A22" i="10"/>
  <c r="F22" i="9"/>
  <c r="D22" i="9"/>
  <c r="C92" i="8"/>
  <c r="C91" i="8"/>
  <c r="Q18" i="6"/>
  <c r="C59" i="9" l="1"/>
  <c r="H23" i="24"/>
  <c r="D73" i="14"/>
  <c r="H73" i="14" s="1"/>
  <c r="I73" i="14" s="1"/>
  <c r="U21" i="11"/>
  <c r="L16" i="11" s="1"/>
  <c r="H71" i="14"/>
  <c r="I71" i="14" s="1"/>
  <c r="H77" i="14"/>
  <c r="I77" i="14" s="1"/>
  <c r="F77" i="14"/>
  <c r="G77" i="14" s="1"/>
  <c r="H78" i="14"/>
  <c r="I78" i="14" s="1"/>
  <c r="F78" i="14"/>
  <c r="D76" i="14"/>
  <c r="D74" i="14"/>
  <c r="D75" i="14"/>
  <c r="H125" i="12"/>
  <c r="D80" i="12"/>
  <c r="D122" i="12"/>
  <c r="D13" i="12" s="1"/>
  <c r="E13" i="12" s="1"/>
  <c r="G79" i="12"/>
  <c r="G80" i="12" s="1"/>
  <c r="A25" i="10"/>
  <c r="D72" i="14" s="1"/>
  <c r="D17" i="13"/>
  <c r="F13" i="13" s="1"/>
  <c r="C17" i="13"/>
  <c r="E14" i="13" s="1"/>
  <c r="I14" i="13" s="1"/>
  <c r="I122" i="12"/>
  <c r="G122" i="12"/>
  <c r="I24" i="12"/>
  <c r="I79" i="12" s="1"/>
  <c r="H123" i="12"/>
  <c r="B51" i="9"/>
  <c r="F51" i="9" l="1"/>
  <c r="H150" i="12" s="1"/>
  <c r="D141" i="12" s="1"/>
  <c r="D150" i="12"/>
  <c r="L18" i="11"/>
  <c r="I23" i="24"/>
  <c r="C51" i="9"/>
  <c r="I18" i="11"/>
  <c r="D123" i="12"/>
  <c r="F73" i="14"/>
  <c r="G73" i="14" s="1"/>
  <c r="O71" i="14"/>
  <c r="N71" i="14"/>
  <c r="F71" i="14"/>
  <c r="L78" i="14"/>
  <c r="M78" i="14"/>
  <c r="J78" i="14"/>
  <c r="K78" i="14" s="1"/>
  <c r="O78" i="14"/>
  <c r="N78" i="14"/>
  <c r="M77" i="14"/>
  <c r="N77" i="14"/>
  <c r="O77" i="14"/>
  <c r="J77" i="14"/>
  <c r="K77" i="14" s="1"/>
  <c r="L77" i="14"/>
  <c r="H75" i="14"/>
  <c r="I75" i="14" s="1"/>
  <c r="F75" i="14"/>
  <c r="G75" i="14" s="1"/>
  <c r="H74" i="14"/>
  <c r="I74" i="14" s="1"/>
  <c r="F74" i="14"/>
  <c r="G74" i="14" s="1"/>
  <c r="F76" i="14"/>
  <c r="G76" i="14" s="1"/>
  <c r="H76" i="14"/>
  <c r="I76" i="14" s="1"/>
  <c r="O73" i="14"/>
  <c r="J73" i="14"/>
  <c r="K73" i="14" s="1"/>
  <c r="N73" i="14"/>
  <c r="L73" i="14"/>
  <c r="M73" i="14"/>
  <c r="J71" i="14"/>
  <c r="K71" i="14" s="1"/>
  <c r="C25" i="10"/>
  <c r="E13" i="13"/>
  <c r="I13" i="13" s="1"/>
  <c r="E16" i="13"/>
  <c r="I16" i="13" s="1"/>
  <c r="E15" i="13"/>
  <c r="I15" i="13" s="1"/>
  <c r="G78" i="14"/>
  <c r="J13" i="13"/>
  <c r="F16" i="13"/>
  <c r="J16" i="13" s="1"/>
  <c r="F15" i="13"/>
  <c r="J15" i="13" s="1"/>
  <c r="F14" i="13"/>
  <c r="J14" i="13" s="1"/>
  <c r="G125" i="12"/>
  <c r="I125" i="12" s="1"/>
  <c r="G123" i="12"/>
  <c r="I123" i="12"/>
  <c r="H124" i="12"/>
  <c r="I80" i="12"/>
  <c r="E61" i="10"/>
  <c r="F61" i="10" s="1"/>
  <c r="E71" i="10"/>
  <c r="F71" i="10" s="1"/>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26" i="5"/>
  <c r="G25" i="5"/>
  <c r="F97" i="5"/>
  <c r="D97" i="5"/>
  <c r="E27" i="5" s="1"/>
  <c r="C97" i="5"/>
  <c r="C114" i="5"/>
  <c r="D120" i="5" s="1"/>
  <c r="B114" i="5"/>
  <c r="C106" i="5"/>
  <c r="D118" i="5" s="1"/>
  <c r="B106" i="5"/>
  <c r="C118" i="5" s="1"/>
  <c r="G11" i="5"/>
  <c r="G12" i="5"/>
  <c r="G13" i="5"/>
  <c r="G14" i="5"/>
  <c r="G15" i="5"/>
  <c r="G16" i="5"/>
  <c r="G17" i="5"/>
  <c r="G18" i="5"/>
  <c r="G19" i="5"/>
  <c r="G20" i="5"/>
  <c r="G10" i="5"/>
  <c r="F21" i="5"/>
  <c r="D21" i="5"/>
  <c r="E11" i="5" s="1"/>
  <c r="C21" i="5"/>
  <c r="D59" i="9" l="1"/>
  <c r="G59" i="9" s="1"/>
  <c r="G142" i="12"/>
  <c r="K142" i="12"/>
  <c r="K141" i="12"/>
  <c r="E150" i="12"/>
  <c r="I150" i="12"/>
  <c r="G141" i="12"/>
  <c r="E118" i="5"/>
  <c r="G51" i="9"/>
  <c r="D117" i="5"/>
  <c r="D121" i="5" s="1"/>
  <c r="D16" i="3"/>
  <c r="C120" i="5"/>
  <c r="E120" i="5" s="1"/>
  <c r="L25" i="24"/>
  <c r="G71" i="14"/>
  <c r="D79" i="14"/>
  <c r="H72" i="14"/>
  <c r="I72" i="14" s="1"/>
  <c r="O76" i="14"/>
  <c r="M76" i="14"/>
  <c r="J76" i="14"/>
  <c r="K76" i="14" s="1"/>
  <c r="N76" i="14"/>
  <c r="L76" i="14"/>
  <c r="N75" i="14"/>
  <c r="M75" i="14"/>
  <c r="J75" i="14"/>
  <c r="K75" i="14" s="1"/>
  <c r="L75" i="14"/>
  <c r="O75" i="14"/>
  <c r="J74" i="14"/>
  <c r="K74" i="14" s="1"/>
  <c r="L74" i="14"/>
  <c r="N74" i="14"/>
  <c r="O74" i="14"/>
  <c r="M74" i="14"/>
  <c r="F72" i="14"/>
  <c r="F79" i="14" s="1"/>
  <c r="G79" i="14" s="1"/>
  <c r="L71" i="14"/>
  <c r="M71" i="14"/>
  <c r="I17" i="13"/>
  <c r="H14" i="24" s="1"/>
  <c r="E17" i="13"/>
  <c r="F17" i="13"/>
  <c r="J17" i="13"/>
  <c r="I14" i="24" s="1"/>
  <c r="D142" i="12"/>
  <c r="D144" i="12" s="1"/>
  <c r="G124" i="12"/>
  <c r="I124" i="12" s="1"/>
  <c r="E91" i="5"/>
  <c r="G97" i="5"/>
  <c r="E68" i="5"/>
  <c r="E46" i="5"/>
  <c r="E31" i="5"/>
  <c r="D18" i="3"/>
  <c r="E95" i="5"/>
  <c r="E80" i="5"/>
  <c r="E58" i="5"/>
  <c r="E43" i="5"/>
  <c r="E69" i="5"/>
  <c r="E47" i="5"/>
  <c r="E32" i="5"/>
  <c r="E83" i="5"/>
  <c r="E94" i="5"/>
  <c r="E79" i="5"/>
  <c r="E57" i="5"/>
  <c r="E35" i="5"/>
  <c r="E93" i="5"/>
  <c r="E82" i="5"/>
  <c r="E71" i="5"/>
  <c r="E67" i="5"/>
  <c r="E56" i="5"/>
  <c r="E45" i="5"/>
  <c r="E34" i="5"/>
  <c r="D17" i="3"/>
  <c r="E92" i="5"/>
  <c r="E81" i="5"/>
  <c r="E70" i="5"/>
  <c r="E59" i="5"/>
  <c r="E55" i="5"/>
  <c r="E44" i="5"/>
  <c r="E33" i="5"/>
  <c r="E86" i="5"/>
  <c r="E74" i="5"/>
  <c r="E62" i="5"/>
  <c r="E50" i="5"/>
  <c r="E38" i="5"/>
  <c r="E26" i="5"/>
  <c r="E25" i="5"/>
  <c r="E85" i="5"/>
  <c r="E73" i="5"/>
  <c r="E61" i="5"/>
  <c r="E49" i="5"/>
  <c r="E37" i="5"/>
  <c r="E96" i="5"/>
  <c r="E84" i="5"/>
  <c r="E72" i="5"/>
  <c r="E60" i="5"/>
  <c r="E48" i="5"/>
  <c r="E36" i="5"/>
  <c r="C117" i="5"/>
  <c r="E90" i="5"/>
  <c r="E78" i="5"/>
  <c r="E66" i="5"/>
  <c r="E54" i="5"/>
  <c r="E42" i="5"/>
  <c r="E30" i="5"/>
  <c r="E15" i="5"/>
  <c r="E89" i="5"/>
  <c r="E77" i="5"/>
  <c r="E65" i="5"/>
  <c r="E53" i="5"/>
  <c r="E41" i="5"/>
  <c r="E29" i="5"/>
  <c r="E88" i="5"/>
  <c r="E76" i="5"/>
  <c r="E64" i="5"/>
  <c r="E52" i="5"/>
  <c r="E40" i="5"/>
  <c r="E28" i="5"/>
  <c r="E87" i="5"/>
  <c r="E75" i="5"/>
  <c r="E63" i="5"/>
  <c r="E51" i="5"/>
  <c r="E39" i="5"/>
  <c r="G21" i="5"/>
  <c r="E20" i="5"/>
  <c r="E17" i="5"/>
  <c r="E10" i="5"/>
  <c r="E16" i="5"/>
  <c r="E19" i="5"/>
  <c r="E18" i="5"/>
  <c r="E14" i="5"/>
  <c r="E13" i="5"/>
  <c r="E12"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L59" i="9" l="1"/>
  <c r="K59" i="9"/>
  <c r="I59" i="9"/>
  <c r="D60" i="9"/>
  <c r="L60" i="9" s="1"/>
  <c r="K144" i="12"/>
  <c r="I160" i="12" s="1"/>
  <c r="F141" i="12"/>
  <c r="C141" i="12"/>
  <c r="J142" i="12"/>
  <c r="C142" i="12"/>
  <c r="F142" i="12"/>
  <c r="J141" i="12"/>
  <c r="G144" i="12"/>
  <c r="C121" i="5"/>
  <c r="E117" i="5"/>
  <c r="K23" i="24"/>
  <c r="I16" i="24"/>
  <c r="L72" i="14"/>
  <c r="N72" i="14"/>
  <c r="J72" i="14"/>
  <c r="K72" i="14" s="1"/>
  <c r="M72" i="14"/>
  <c r="O72" i="14"/>
  <c r="D86" i="14"/>
  <c r="D90" i="14" s="1"/>
  <c r="G72" i="14"/>
  <c r="I18" i="13"/>
  <c r="G18" i="13" s="1"/>
  <c r="D19" i="3"/>
  <c r="B7" i="26" s="1"/>
  <c r="E97" i="5"/>
  <c r="E21" i="5"/>
  <c r="F144" i="12" l="1"/>
  <c r="I159" i="12" s="1"/>
  <c r="G60" i="9"/>
  <c r="I60" i="9"/>
  <c r="K60" i="9"/>
  <c r="J144" i="12"/>
  <c r="C144" i="12"/>
  <c r="E121" i="5"/>
  <c r="K14" i="24"/>
  <c r="L15" i="24"/>
  <c r="C86" i="14"/>
  <c r="C87" i="14" s="1"/>
  <c r="E86" i="14"/>
  <c r="E89" i="14" s="1"/>
  <c r="D89" i="14"/>
  <c r="D88" i="14"/>
  <c r="D87" i="14"/>
  <c r="D99" i="14" s="1"/>
  <c r="F25" i="3"/>
  <c r="E25" i="3"/>
  <c r="D25" i="3"/>
  <c r="C25" i="3"/>
  <c r="I158" i="12" l="1"/>
  <c r="I157" i="12"/>
  <c r="H159" i="12"/>
  <c r="H157" i="12"/>
  <c r="H158" i="12"/>
  <c r="J159" i="12"/>
  <c r="J158" i="12"/>
  <c r="J157" i="12"/>
  <c r="G163" i="12" s="1"/>
  <c r="H163" i="12" s="1"/>
  <c r="H160" i="12"/>
  <c r="E90" i="14"/>
  <c r="E88" i="14"/>
  <c r="C89" i="14"/>
  <c r="C90" i="14"/>
  <c r="C88" i="14"/>
  <c r="E87" i="14"/>
  <c r="B24" i="3"/>
  <c r="B8" i="26" s="1"/>
  <c r="B25" i="3"/>
  <c r="H12" i="24" l="1"/>
  <c r="H164" i="12"/>
  <c r="E72" i="26"/>
  <c r="BJ74" i="26"/>
  <c r="BJ78" i="26" s="1"/>
  <c r="I74" i="26"/>
  <c r="I78" i="26" s="1"/>
  <c r="BB73" i="26"/>
  <c r="BB77" i="26" s="1"/>
  <c r="CY72" i="26"/>
  <c r="BK72" i="26"/>
  <c r="W72" i="26"/>
  <c r="CU72" i="26"/>
  <c r="S72" i="26"/>
  <c r="CQ72" i="26"/>
  <c r="CL72" i="26"/>
  <c r="G72" i="26"/>
  <c r="CE74" i="26"/>
  <c r="CE78" i="26" s="1"/>
  <c r="CD74" i="26"/>
  <c r="CD78" i="26" s="1"/>
  <c r="BZ72" i="26"/>
  <c r="BZ74" i="26"/>
  <c r="BZ78" i="26" s="1"/>
  <c r="Q73" i="26"/>
  <c r="Q77" i="26" s="1"/>
  <c r="AD72" i="26"/>
  <c r="BI74" i="26"/>
  <c r="BI78" i="26" s="1"/>
  <c r="G74" i="26"/>
  <c r="G78" i="26" s="1"/>
  <c r="BA73" i="26"/>
  <c r="BA77" i="26" s="1"/>
  <c r="CX72" i="26"/>
  <c r="BJ72" i="26"/>
  <c r="V72" i="26"/>
  <c r="BE74" i="26"/>
  <c r="BE78" i="26" s="1"/>
  <c r="CX73" i="26"/>
  <c r="CX77" i="26" s="1"/>
  <c r="AW73" i="26"/>
  <c r="AW77" i="26" s="1"/>
  <c r="BG72" i="26"/>
  <c r="AY74" i="26"/>
  <c r="AY78" i="26" s="1"/>
  <c r="CS73" i="26"/>
  <c r="CS77" i="26" s="1"/>
  <c r="AR73" i="26"/>
  <c r="AR77" i="26" s="1"/>
  <c r="BC72" i="26"/>
  <c r="O72" i="26"/>
  <c r="K72" i="26"/>
  <c r="J72" i="26"/>
  <c r="AO74" i="26"/>
  <c r="AO78" i="26" s="1"/>
  <c r="CH73" i="26"/>
  <c r="CH77" i="26" s="1"/>
  <c r="AG73" i="26"/>
  <c r="AG77" i="26" s="1"/>
  <c r="CI72" i="26"/>
  <c r="AU72" i="26"/>
  <c r="AD74" i="26"/>
  <c r="AD78" i="26" s="1"/>
  <c r="BV73" i="26"/>
  <c r="BV77" i="26" s="1"/>
  <c r="AL72" i="26"/>
  <c r="BY74" i="26"/>
  <c r="BY78" i="26" s="1"/>
  <c r="AH72" i="26"/>
  <c r="BL73" i="26"/>
  <c r="BL77" i="26" s="1"/>
  <c r="BO72" i="26"/>
  <c r="M74" i="26"/>
  <c r="M78" i="26" s="1"/>
  <c r="CQ74" i="26"/>
  <c r="CQ78" i="26" s="1"/>
  <c r="BC74" i="26"/>
  <c r="BC78" i="26" s="1"/>
  <c r="CW73" i="26"/>
  <c r="CW77" i="26" s="1"/>
  <c r="AV73" i="26"/>
  <c r="AV77" i="26" s="1"/>
  <c r="CT72" i="26"/>
  <c r="BF72" i="26"/>
  <c r="R72" i="26"/>
  <c r="BQ73" i="26"/>
  <c r="BQ77" i="26" s="1"/>
  <c r="BO74" i="26"/>
  <c r="BO78" i="26" s="1"/>
  <c r="CY74" i="26"/>
  <c r="CY78" i="26" s="1"/>
  <c r="AX74" i="26"/>
  <c r="AX78" i="26" s="1"/>
  <c r="CR73" i="26"/>
  <c r="CR77" i="26" s="1"/>
  <c r="AP73" i="26"/>
  <c r="AP77" i="26" s="1"/>
  <c r="CP72" i="26"/>
  <c r="BB72" i="26"/>
  <c r="N72" i="26"/>
  <c r="CU74" i="26"/>
  <c r="CU78" i="26" s="1"/>
  <c r="AT74" i="26"/>
  <c r="AT78" i="26" s="1"/>
  <c r="CN73" i="26"/>
  <c r="CN77" i="26" s="1"/>
  <c r="AL73" i="26"/>
  <c r="AL77" i="26" s="1"/>
  <c r="CM72" i="26"/>
  <c r="AY72" i="26"/>
  <c r="CT74" i="26"/>
  <c r="CT78" i="26" s="1"/>
  <c r="AS74" i="26"/>
  <c r="AS78" i="26" s="1"/>
  <c r="CL73" i="26"/>
  <c r="CL77" i="26" s="1"/>
  <c r="AK73" i="26"/>
  <c r="AK77" i="26" s="1"/>
  <c r="AX72" i="26"/>
  <c r="BR73" i="26"/>
  <c r="BR77" i="26" s="1"/>
  <c r="AI72" i="26"/>
  <c r="W74" i="26"/>
  <c r="W78" i="26" s="1"/>
  <c r="BS74" i="26"/>
  <c r="BS78" i="26" s="1"/>
  <c r="AA72" i="26"/>
  <c r="BN74" i="26"/>
  <c r="BN78" i="26" s="1"/>
  <c r="BN72" i="26"/>
  <c r="CP74" i="26"/>
  <c r="CP78" i="26" s="1"/>
  <c r="Y74" i="26"/>
  <c r="Y78" i="26" s="1"/>
  <c r="P73" i="26"/>
  <c r="P77" i="26" s="1"/>
  <c r="K73" i="26"/>
  <c r="K77" i="26" s="1"/>
  <c r="N74" i="26"/>
  <c r="N78" i="26" s="1"/>
  <c r="G73" i="26"/>
  <c r="G77" i="26" s="1"/>
  <c r="CO74" i="26"/>
  <c r="CO78" i="26" s="1"/>
  <c r="AM74" i="26"/>
  <c r="AM78" i="26" s="1"/>
  <c r="CG73" i="26"/>
  <c r="CG77" i="26" s="1"/>
  <c r="AF73" i="26"/>
  <c r="AF77" i="26" s="1"/>
  <c r="CH72" i="26"/>
  <c r="AT72" i="26"/>
  <c r="F72" i="26"/>
  <c r="CK74" i="26"/>
  <c r="CK78" i="26" s="1"/>
  <c r="AI74" i="26"/>
  <c r="AI78" i="26" s="1"/>
  <c r="CC73" i="26"/>
  <c r="CC77" i="26" s="1"/>
  <c r="AB73" i="26"/>
  <c r="AB77" i="26" s="1"/>
  <c r="CE72" i="26"/>
  <c r="AQ72" i="26"/>
  <c r="AH74" i="26"/>
  <c r="AH78" i="26" s="1"/>
  <c r="Z73" i="26"/>
  <c r="Z77" i="26" s="1"/>
  <c r="AP72" i="26"/>
  <c r="V73" i="26"/>
  <c r="V77" i="26" s="1"/>
  <c r="AC74" i="26"/>
  <c r="AC78" i="26" s="1"/>
  <c r="U73" i="26"/>
  <c r="U77" i="26" s="1"/>
  <c r="BV72" i="26"/>
  <c r="R74" i="26"/>
  <c r="R78" i="26" s="1"/>
  <c r="H73" i="26"/>
  <c r="H77" i="26" s="1"/>
  <c r="BF73" i="26"/>
  <c r="BF77" i="26" s="1"/>
  <c r="CI74" i="26"/>
  <c r="CI78" i="26" s="1"/>
  <c r="CB73" i="26"/>
  <c r="CB77" i="26" s="1"/>
  <c r="CD72" i="26"/>
  <c r="BX73" i="26"/>
  <c r="BX77" i="26" s="1"/>
  <c r="AM72" i="26"/>
  <c r="BR72" i="26"/>
  <c r="CA72" i="26"/>
  <c r="BW72" i="26"/>
  <c r="BH73" i="26"/>
  <c r="BH77" i="26" s="1"/>
  <c r="Z72" i="26"/>
  <c r="BU74" i="26"/>
  <c r="BU78" i="26" s="1"/>
  <c r="S74" i="26"/>
  <c r="S78" i="26" s="1"/>
  <c r="BM73" i="26"/>
  <c r="BM77" i="26" s="1"/>
  <c r="L73" i="26"/>
  <c r="L77" i="26" s="1"/>
  <c r="BS72" i="26"/>
  <c r="AE72" i="26"/>
  <c r="CF72" i="26"/>
  <c r="BK74" i="26"/>
  <c r="BK78" i="26" s="1"/>
  <c r="AJ74" i="26"/>
  <c r="AJ78" i="26" s="1"/>
  <c r="BC73" i="26"/>
  <c r="BC77" i="26" s="1"/>
  <c r="CR72" i="26"/>
  <c r="CC72" i="26"/>
  <c r="BZ73" i="26"/>
  <c r="BZ77" i="26" s="1"/>
  <c r="CH74" i="26"/>
  <c r="CH78" i="26" s="1"/>
  <c r="CV72" i="26"/>
  <c r="CA74" i="26"/>
  <c r="CA78" i="26" s="1"/>
  <c r="AU73" i="26"/>
  <c r="AU77" i="26" s="1"/>
  <c r="CK72" i="26"/>
  <c r="CS74" i="26"/>
  <c r="CS78" i="26" s="1"/>
  <c r="CL74" i="26"/>
  <c r="CL78" i="26" s="1"/>
  <c r="AQ73" i="26"/>
  <c r="AQ77" i="26" s="1"/>
  <c r="CO72" i="26"/>
  <c r="CX74" i="26"/>
  <c r="CX78" i="26" s="1"/>
  <c r="CV74" i="26"/>
  <c r="CV78" i="26" s="1"/>
  <c r="AM73" i="26"/>
  <c r="AM77" i="26" s="1"/>
  <c r="AX73" i="26"/>
  <c r="AX77" i="26" s="1"/>
  <c r="CF74" i="26"/>
  <c r="CF78" i="26" s="1"/>
  <c r="W73" i="26"/>
  <c r="W77" i="26" s="1"/>
  <c r="CB74" i="26"/>
  <c r="CB78" i="26" s="1"/>
  <c r="O73" i="26"/>
  <c r="O77" i="26" s="1"/>
  <c r="AG74" i="26"/>
  <c r="AG78" i="26" s="1"/>
  <c r="BT74" i="26"/>
  <c r="BT78" i="26" s="1"/>
  <c r="AS72" i="26"/>
  <c r="AF72" i="26"/>
  <c r="CJ73" i="26"/>
  <c r="CJ77" i="26" s="1"/>
  <c r="T72" i="26"/>
  <c r="AB72" i="26"/>
  <c r="AW74" i="26"/>
  <c r="AW78" i="26" s="1"/>
  <c r="E74" i="26"/>
  <c r="E78" i="26" s="1"/>
  <c r="BW73" i="26"/>
  <c r="BW77" i="26" s="1"/>
  <c r="BI72" i="26"/>
  <c r="Z74" i="26"/>
  <c r="Z78" i="26" s="1"/>
  <c r="AZ72" i="26"/>
  <c r="BM74" i="26"/>
  <c r="BM78" i="26" s="1"/>
  <c r="AE74" i="26"/>
  <c r="AE78" i="26" s="1"/>
  <c r="BQ72" i="26"/>
  <c r="AR74" i="26"/>
  <c r="AR78" i="26" s="1"/>
  <c r="CN72" i="26"/>
  <c r="BQ74" i="26"/>
  <c r="BQ78" i="26" s="1"/>
  <c r="AF74" i="26"/>
  <c r="AF78" i="26" s="1"/>
  <c r="AY73" i="26"/>
  <c r="AY77" i="26" s="1"/>
  <c r="I73" i="26"/>
  <c r="I77" i="26" s="1"/>
  <c r="CG72" i="26"/>
  <c r="CF73" i="26"/>
  <c r="CF77" i="26" s="1"/>
  <c r="CM74" i="26"/>
  <c r="CM78" i="26" s="1"/>
  <c r="AB74" i="26"/>
  <c r="AB78" i="26" s="1"/>
  <c r="R73" i="26"/>
  <c r="R77" i="26" s="1"/>
  <c r="I72" i="26"/>
  <c r="CK73" i="26"/>
  <c r="CK77" i="26" s="1"/>
  <c r="E73" i="26"/>
  <c r="E77" i="26" s="1"/>
  <c r="X74" i="26"/>
  <c r="X78" i="26" s="1"/>
  <c r="AC73" i="26"/>
  <c r="AC77" i="26" s="1"/>
  <c r="M72" i="26"/>
  <c r="CP73" i="26"/>
  <c r="CP77" i="26" s="1"/>
  <c r="M73" i="26"/>
  <c r="M77" i="26" s="1"/>
  <c r="T74" i="26"/>
  <c r="T78" i="26" s="1"/>
  <c r="AN73" i="26"/>
  <c r="AN77" i="26" s="1"/>
  <c r="Q72" i="26"/>
  <c r="CS72" i="26"/>
  <c r="CV73" i="26"/>
  <c r="CV77" i="26" s="1"/>
  <c r="X73" i="26"/>
  <c r="X77" i="26" s="1"/>
  <c r="CR74" i="26"/>
  <c r="CR78" i="26" s="1"/>
  <c r="AI73" i="26"/>
  <c r="AI77" i="26" s="1"/>
  <c r="BD73" i="26"/>
  <c r="BD77" i="26" s="1"/>
  <c r="U72" i="26"/>
  <c r="F74" i="26"/>
  <c r="F78" i="26" s="1"/>
  <c r="AS73" i="26"/>
  <c r="AS77" i="26" s="1"/>
  <c r="AC72" i="26"/>
  <c r="Q74" i="26"/>
  <c r="Q78" i="26" s="1"/>
  <c r="CY73" i="26"/>
  <c r="CY77" i="26" s="1"/>
  <c r="AG72" i="26"/>
  <c r="V74" i="26"/>
  <c r="V78" i="26" s="1"/>
  <c r="H72" i="26"/>
  <c r="CU73" i="26"/>
  <c r="CU77" i="26" s="1"/>
  <c r="J74" i="26"/>
  <c r="J78" i="26" s="1"/>
  <c r="T73" i="26"/>
  <c r="T77" i="26" s="1"/>
  <c r="BX74" i="26"/>
  <c r="BX78" i="26" s="1"/>
  <c r="AO72" i="26"/>
  <c r="BY73" i="26"/>
  <c r="BY77" i="26" s="1"/>
  <c r="AK74" i="26"/>
  <c r="AK78" i="26" s="1"/>
  <c r="AL74" i="26"/>
  <c r="AL78" i="26" s="1"/>
  <c r="CI73" i="26"/>
  <c r="CI77" i="26" s="1"/>
  <c r="AW72" i="26"/>
  <c r="CE73" i="26"/>
  <c r="CE77" i="26" s="1"/>
  <c r="BA72" i="26"/>
  <c r="BH74" i="26"/>
  <c r="BH78" i="26" s="1"/>
  <c r="BD74" i="26"/>
  <c r="BD78" i="26" s="1"/>
  <c r="AZ74" i="26"/>
  <c r="AZ78" i="26" s="1"/>
  <c r="BE73" i="26"/>
  <c r="BE77" i="26" s="1"/>
  <c r="AV74" i="26"/>
  <c r="AV78" i="26" s="1"/>
  <c r="BR74" i="26"/>
  <c r="BR78" i="26" s="1"/>
  <c r="AP74" i="26"/>
  <c r="AP78" i="26" s="1"/>
  <c r="BG73" i="26"/>
  <c r="BG77" i="26" s="1"/>
  <c r="AK72" i="26"/>
  <c r="X72" i="26"/>
  <c r="AU74" i="26"/>
  <c r="AU78" i="26" s="1"/>
  <c r="AQ74" i="26"/>
  <c r="AQ78" i="26" s="1"/>
  <c r="BV74" i="26"/>
  <c r="BV78" i="26" s="1"/>
  <c r="BD72" i="26"/>
  <c r="BG74" i="26"/>
  <c r="BG78" i="26" s="1"/>
  <c r="BM72" i="26"/>
  <c r="BT72" i="26"/>
  <c r="BX72" i="26"/>
  <c r="BW74" i="26"/>
  <c r="BW78" i="26" s="1"/>
  <c r="BA74" i="26"/>
  <c r="BA78" i="26" s="1"/>
  <c r="CC74" i="26"/>
  <c r="CC78" i="26" s="1"/>
  <c r="P74" i="26"/>
  <c r="P78" i="26" s="1"/>
  <c r="CW72" i="26"/>
  <c r="AH73" i="26"/>
  <c r="AH77" i="26" s="1"/>
  <c r="CN74" i="26"/>
  <c r="CN78" i="26" s="1"/>
  <c r="L74" i="26"/>
  <c r="L78" i="26" s="1"/>
  <c r="AE73" i="26"/>
  <c r="AE77" i="26" s="1"/>
  <c r="BN73" i="26"/>
  <c r="BN77" i="26" s="1"/>
  <c r="Y72" i="26"/>
  <c r="F73" i="26"/>
  <c r="F77" i="26" s="1"/>
  <c r="K74" i="26"/>
  <c r="K78" i="26" s="1"/>
  <c r="CJ74" i="26"/>
  <c r="CJ78" i="26" s="1"/>
  <c r="H74" i="26"/>
  <c r="H78" i="26" s="1"/>
  <c r="AA73" i="26"/>
  <c r="AA77" i="26" s="1"/>
  <c r="CD73" i="26"/>
  <c r="CD77" i="26" s="1"/>
  <c r="J73" i="26"/>
  <c r="J77" i="26" s="1"/>
  <c r="CO73" i="26"/>
  <c r="CO77" i="26" s="1"/>
  <c r="N73" i="26"/>
  <c r="N77" i="26" s="1"/>
  <c r="BI73" i="26"/>
  <c r="BI77" i="26" s="1"/>
  <c r="S73" i="26"/>
  <c r="S77" i="26" s="1"/>
  <c r="AA74" i="26"/>
  <c r="AA78" i="26" s="1"/>
  <c r="P72" i="26"/>
  <c r="CQ73" i="26"/>
  <c r="CQ77" i="26" s="1"/>
  <c r="Y73" i="26"/>
  <c r="Y77" i="26" s="1"/>
  <c r="CM73" i="26"/>
  <c r="CM77" i="26" s="1"/>
  <c r="AD73" i="26"/>
  <c r="AD77" i="26" s="1"/>
  <c r="BP74" i="26"/>
  <c r="BP78" i="26" s="1"/>
  <c r="AJ73" i="26"/>
  <c r="AJ77" i="26" s="1"/>
  <c r="CT73" i="26"/>
  <c r="CT77" i="26" s="1"/>
  <c r="AJ72" i="26"/>
  <c r="BE72" i="26"/>
  <c r="AT73" i="26"/>
  <c r="AT77" i="26" s="1"/>
  <c r="BB74" i="26"/>
  <c r="BB78" i="26" s="1"/>
  <c r="O74" i="26"/>
  <c r="O78" i="26" s="1"/>
  <c r="CG74" i="26"/>
  <c r="CG78" i="26" s="1"/>
  <c r="BL72" i="26"/>
  <c r="BS73" i="26"/>
  <c r="BS77" i="26" s="1"/>
  <c r="BP72" i="26"/>
  <c r="BH72" i="26"/>
  <c r="BJ73" i="26"/>
  <c r="BJ77" i="26" s="1"/>
  <c r="BU72" i="26"/>
  <c r="CB72" i="26"/>
  <c r="CJ72" i="26"/>
  <c r="BY72" i="26"/>
  <c r="BT73" i="26"/>
  <c r="BT77" i="26" s="1"/>
  <c r="U74" i="26"/>
  <c r="U78" i="26" s="1"/>
  <c r="L72" i="26"/>
  <c r="AN72" i="26"/>
  <c r="BL74" i="26"/>
  <c r="BL78" i="26" s="1"/>
  <c r="BF74" i="26"/>
  <c r="BF78" i="26" s="1"/>
  <c r="AO73" i="26"/>
  <c r="AO77" i="26" s="1"/>
  <c r="AV72" i="26"/>
  <c r="CA73" i="26"/>
  <c r="CA77" i="26" s="1"/>
  <c r="AR72" i="26"/>
  <c r="AZ73" i="26"/>
  <c r="AZ77" i="26" s="1"/>
  <c r="CW74" i="26"/>
  <c r="CW78" i="26" s="1"/>
  <c r="BO73" i="26"/>
  <c r="BO77" i="26" s="1"/>
  <c r="BK73" i="26"/>
  <c r="BK77" i="26" s="1"/>
  <c r="BP73" i="26"/>
  <c r="BP77" i="26" s="1"/>
  <c r="AN74" i="26"/>
  <c r="AN78" i="26" s="1"/>
  <c r="BU73" i="26"/>
  <c r="BU77" i="26" s="1"/>
  <c r="D100" i="14"/>
  <c r="G99" i="14" s="1"/>
  <c r="E30" i="3"/>
  <c r="F30" i="3" s="1"/>
  <c r="B10" i="26" s="1"/>
  <c r="B11" i="26" s="1"/>
  <c r="E99" i="14"/>
  <c r="H17" i="24" s="1"/>
  <c r="B30" i="3"/>
  <c r="L13" i="24" l="1"/>
  <c r="H16" i="24"/>
  <c r="K12" i="24"/>
  <c r="K16" i="24" s="1"/>
  <c r="CS76" i="26"/>
  <c r="CS79" i="26"/>
  <c r="Y76" i="26"/>
  <c r="Y79" i="26"/>
  <c r="H76" i="26"/>
  <c r="H79" i="26"/>
  <c r="BN79" i="26"/>
  <c r="BN76" i="26"/>
  <c r="AQ76" i="26"/>
  <c r="AQ79" i="26"/>
  <c r="BY76" i="26"/>
  <c r="BY79" i="26"/>
  <c r="CE76" i="26"/>
  <c r="CE79" i="26"/>
  <c r="AA76" i="26"/>
  <c r="AA79" i="26"/>
  <c r="AU79" i="26"/>
  <c r="AU76" i="26"/>
  <c r="AO76" i="26"/>
  <c r="AO79" i="26"/>
  <c r="M76" i="26"/>
  <c r="M79" i="26"/>
  <c r="CW76" i="26"/>
  <c r="CW79" i="26"/>
  <c r="AC76" i="26"/>
  <c r="AC79" i="26"/>
  <c r="I76" i="26"/>
  <c r="I79" i="26"/>
  <c r="CK76" i="26"/>
  <c r="CK79" i="26"/>
  <c r="BW79" i="26"/>
  <c r="BW76" i="26"/>
  <c r="CI79" i="26"/>
  <c r="CI76" i="26"/>
  <c r="CZ77" i="26"/>
  <c r="C15" i="26" s="1"/>
  <c r="AD76" i="26"/>
  <c r="AD79" i="26"/>
  <c r="AP76" i="26"/>
  <c r="AP79" i="26"/>
  <c r="CX79" i="26"/>
  <c r="CX76" i="26"/>
  <c r="AR76" i="26"/>
  <c r="AR79" i="26"/>
  <c r="CN76" i="26"/>
  <c r="CN79" i="26"/>
  <c r="CF76" i="26"/>
  <c r="CF79" i="26"/>
  <c r="AJ76" i="26"/>
  <c r="AJ79" i="26"/>
  <c r="L76" i="26"/>
  <c r="L79" i="26"/>
  <c r="AL79" i="26"/>
  <c r="AL76" i="26"/>
  <c r="CP76" i="26"/>
  <c r="CP79" i="26"/>
  <c r="P76" i="26"/>
  <c r="P79" i="26"/>
  <c r="T76" i="26"/>
  <c r="T79" i="26"/>
  <c r="AI79" i="26"/>
  <c r="AI76" i="26"/>
  <c r="BA76" i="26"/>
  <c r="BA79" i="26"/>
  <c r="U76" i="26"/>
  <c r="U79" i="26"/>
  <c r="CV76" i="26"/>
  <c r="CV79" i="26"/>
  <c r="AM76" i="26"/>
  <c r="AM79" i="26"/>
  <c r="CM79" i="26"/>
  <c r="CM76" i="26"/>
  <c r="AE79" i="26"/>
  <c r="AE76" i="26"/>
  <c r="X76" i="26"/>
  <c r="X79" i="26"/>
  <c r="N76" i="26"/>
  <c r="N79" i="26"/>
  <c r="AG76" i="26"/>
  <c r="AG79" i="26"/>
  <c r="CB76" i="26"/>
  <c r="CB79" i="26"/>
  <c r="CA79" i="26"/>
  <c r="CA76" i="26"/>
  <c r="CZ78" i="26"/>
  <c r="C17" i="26" s="1"/>
  <c r="I27" i="24" s="1"/>
  <c r="I29" i="24" s="1"/>
  <c r="I31" i="24" s="1"/>
  <c r="BH76" i="26"/>
  <c r="BH79" i="26"/>
  <c r="AF76" i="26"/>
  <c r="AF79" i="26"/>
  <c r="F76" i="26"/>
  <c r="F79" i="26"/>
  <c r="AX79" i="26"/>
  <c r="AX76" i="26"/>
  <c r="R76" i="26"/>
  <c r="R79" i="26"/>
  <c r="J76" i="26"/>
  <c r="J79" i="26"/>
  <c r="BZ79" i="26"/>
  <c r="BZ76" i="26"/>
  <c r="BE76" i="26"/>
  <c r="BE79" i="26"/>
  <c r="BO76" i="26"/>
  <c r="BO79" i="26"/>
  <c r="V79" i="26"/>
  <c r="V76" i="26"/>
  <c r="CO76" i="26"/>
  <c r="CO79" i="26"/>
  <c r="BJ76" i="26"/>
  <c r="BJ79" i="26"/>
  <c r="CJ76" i="26"/>
  <c r="CJ79" i="26"/>
  <c r="BR79" i="26"/>
  <c r="BR76" i="26"/>
  <c r="BP76" i="26"/>
  <c r="BP79" i="26"/>
  <c r="BX76" i="26"/>
  <c r="BX79" i="26"/>
  <c r="AW76" i="26"/>
  <c r="AW79" i="26"/>
  <c r="CG76" i="26"/>
  <c r="CG79" i="26"/>
  <c r="AS76" i="26"/>
  <c r="AS79" i="26"/>
  <c r="CD79" i="26"/>
  <c r="CD76" i="26"/>
  <c r="AT76" i="26"/>
  <c r="AT79" i="26"/>
  <c r="BF79" i="26"/>
  <c r="BF76" i="26"/>
  <c r="K76" i="26"/>
  <c r="K79" i="26"/>
  <c r="AY79" i="26"/>
  <c r="AY76" i="26"/>
  <c r="Q76" i="26"/>
  <c r="Q79" i="26"/>
  <c r="AV76" i="26"/>
  <c r="AV79" i="26"/>
  <c r="BG76" i="26"/>
  <c r="BG79" i="26"/>
  <c r="BQ76" i="26"/>
  <c r="BQ79" i="26"/>
  <c r="AH76" i="26"/>
  <c r="AH79" i="26"/>
  <c r="AZ76" i="26"/>
  <c r="AZ79" i="26"/>
  <c r="BB79" i="26"/>
  <c r="BB76" i="26"/>
  <c r="AB76" i="26"/>
  <c r="AB79" i="26"/>
  <c r="BU76" i="26"/>
  <c r="BU79" i="26"/>
  <c r="BT76" i="26"/>
  <c r="BT79" i="26"/>
  <c r="CC76" i="26"/>
  <c r="CC79" i="26"/>
  <c r="CH79" i="26"/>
  <c r="CH76" i="26"/>
  <c r="CT79" i="26"/>
  <c r="CT76" i="26"/>
  <c r="O79" i="26"/>
  <c r="O76" i="26"/>
  <c r="G79" i="26"/>
  <c r="G76" i="26"/>
  <c r="BD76" i="26"/>
  <c r="BD79" i="26"/>
  <c r="BS76" i="26"/>
  <c r="BS79" i="26"/>
  <c r="AK76" i="26"/>
  <c r="AK79" i="26"/>
  <c r="BL76" i="26"/>
  <c r="BL79" i="26"/>
  <c r="BM76" i="26"/>
  <c r="BM79" i="26"/>
  <c r="CR76" i="26"/>
  <c r="CR79" i="26"/>
  <c r="BC76" i="26"/>
  <c r="BC79" i="26"/>
  <c r="CL76" i="26"/>
  <c r="CL79" i="26"/>
  <c r="CQ76" i="26"/>
  <c r="CQ79" i="26"/>
  <c r="S76" i="26"/>
  <c r="S79" i="26"/>
  <c r="CU76" i="26"/>
  <c r="CU79" i="26"/>
  <c r="W79" i="26"/>
  <c r="W76" i="26"/>
  <c r="BK79" i="26"/>
  <c r="BK76" i="26"/>
  <c r="CY76" i="26"/>
  <c r="CY79" i="26"/>
  <c r="BV76" i="26"/>
  <c r="BV79" i="26"/>
  <c r="AN76" i="26"/>
  <c r="AN79" i="26"/>
  <c r="BI76" i="26"/>
  <c r="BI79" i="26"/>
  <c r="Z79" i="26"/>
  <c r="Z76" i="26"/>
  <c r="E76" i="26"/>
  <c r="E79" i="26"/>
  <c r="L18" i="24"/>
  <c r="K17" i="24"/>
  <c r="E100" i="14"/>
  <c r="H19" i="24" s="1"/>
  <c r="J27" i="24" l="1"/>
  <c r="J29" i="24" s="1"/>
  <c r="J31" i="24" s="1"/>
  <c r="CZ76" i="26"/>
  <c r="L20" i="24"/>
  <c r="G100" i="14"/>
  <c r="C30" i="3"/>
  <c r="B9" i="26" s="1"/>
  <c r="CZ79" i="26" l="1"/>
  <c r="C16" i="26"/>
  <c r="B16" i="26" s="1"/>
  <c r="B15" i="26"/>
  <c r="B17" i="26"/>
  <c r="H21" i="24"/>
  <c r="L22" i="24" s="1"/>
  <c r="K19" i="24"/>
  <c r="J33" i="24"/>
  <c r="J34" i="24" s="1"/>
  <c r="H27" i="24" l="1"/>
  <c r="C18" i="26"/>
  <c r="K21" i="24"/>
  <c r="I33" i="24"/>
  <c r="I34" i="24" s="1"/>
  <c r="B20" i="26" l="1"/>
  <c r="B18" i="26"/>
  <c r="K27" i="24"/>
  <c r="K29" i="24" s="1"/>
  <c r="K31" i="24" s="1"/>
  <c r="K33" i="24" s="1"/>
  <c r="E35" i="24" s="1"/>
  <c r="H35" i="24" s="1"/>
  <c r="L28" i="24"/>
  <c r="H29" i="24"/>
  <c r="L30" i="24" s="1"/>
  <c r="H31" i="24" l="1"/>
  <c r="L32" i="24" s="1"/>
  <c r="H33" i="24"/>
  <c r="H34" i="24" s="1"/>
</calcChain>
</file>

<file path=xl/comments1.xml><?xml version="1.0" encoding="utf-8"?>
<comments xmlns="http://schemas.openxmlformats.org/spreadsheetml/2006/main">
  <authors>
    <author>contrabog</author>
  </authors>
  <commentList>
    <comment ref="B11" authorId="0" shapeId="0">
      <text>
        <r>
          <rPr>
            <b/>
            <sz val="9"/>
            <color indexed="81"/>
            <rFont val="Tahoma"/>
            <family val="2"/>
          </rPr>
          <t>contrabog:</t>
        </r>
        <r>
          <rPr>
            <sz val="9"/>
            <color indexed="81"/>
            <rFont val="Tahoma"/>
            <family val="2"/>
          </rPr>
          <t xml:space="preserve">
Diligenciar de conformidad con el nivel de desagregación que el auditor considere</t>
        </r>
      </text>
    </comment>
    <comment ref="C11" authorId="0" shapeId="0">
      <text>
        <r>
          <rPr>
            <b/>
            <sz val="9"/>
            <color indexed="81"/>
            <rFont val="Tahoma"/>
            <family val="2"/>
          </rPr>
          <t>contrabog:</t>
        </r>
        <r>
          <rPr>
            <sz val="9"/>
            <color indexed="81"/>
            <rFont val="Tahoma"/>
            <family val="2"/>
          </rPr>
          <t xml:space="preserve">
En caso que no cuente con los saldos a dic 31, deberá tomar los más próximos  a esa fecha y luego actualizarlo</t>
        </r>
      </text>
    </comment>
    <comment ref="R11" authorId="0" shapeId="0">
      <text>
        <r>
          <rPr>
            <b/>
            <sz val="9"/>
            <color rgb="FF000000"/>
            <rFont val="Tahoma"/>
            <family val="2"/>
          </rPr>
          <t>contrabog:</t>
        </r>
        <r>
          <rPr>
            <sz val="9"/>
            <color rgb="FF000000"/>
            <rFont val="Tahoma"/>
            <family val="2"/>
          </rPr>
          <t xml:space="preserve">
</t>
        </r>
        <r>
          <rPr>
            <sz val="9"/>
            <color rgb="FF000000"/>
            <rFont val="Tahoma"/>
            <family val="2"/>
          </rPr>
          <t xml:space="preserve">Traiga a esta celda el valor ($) 
</t>
        </r>
        <r>
          <rPr>
            <sz val="9"/>
            <color rgb="FF000000"/>
            <rFont val="Tahoma"/>
            <family val="2"/>
          </rPr>
          <t>tomado com muestra</t>
        </r>
      </text>
    </comment>
  </commentList>
</comments>
</file>

<file path=xl/comments2.xml><?xml version="1.0" encoding="utf-8"?>
<comments xmlns="http://schemas.openxmlformats.org/spreadsheetml/2006/main">
  <authors>
    <author>Omar Eduardo</author>
  </authors>
  <commentList>
    <comment ref="I18" authorId="0" shapeId="0">
      <text>
        <r>
          <rPr>
            <sz val="9"/>
            <color indexed="81"/>
            <rFont val="Tahoma"/>
            <family val="2"/>
          </rPr>
          <t>Efectividad=((Puntaje de eficiencia+Puntuaje de eficacia)/2)/. El porcentaje resultante reflejará el grado de efectividad del desempeño auditado</t>
        </r>
      </text>
    </comment>
  </commentList>
</comments>
</file>

<file path=xl/comments3.xml><?xml version="1.0" encoding="utf-8"?>
<comments xmlns="http://schemas.openxmlformats.org/spreadsheetml/2006/main">
  <authors>
    <author>Blanca Esmeralda Martin Moreno (CGR)</author>
    <author>FRANCISCO</author>
    <author>USER</author>
    <author>Francisco H Bejarano Caceres</author>
  </authors>
  <commentList>
    <comment ref="A18" authorId="0" shapeId="0">
      <text>
        <r>
          <rPr>
            <b/>
            <sz val="9"/>
            <color rgb="FF000000"/>
            <rFont val="Tahoma"/>
            <family val="2"/>
          </rPr>
          <t>Seleccione de las listas desplegables la opción que corresponda.</t>
        </r>
      </text>
    </comment>
    <comment ref="D25" authorId="1" shapeId="0">
      <text>
        <r>
          <rPr>
            <b/>
            <sz val="9"/>
            <color rgb="FF000000"/>
            <rFont val="Tahoma"/>
            <family val="2"/>
          </rPr>
          <t>I</t>
        </r>
        <r>
          <rPr>
            <sz val="9"/>
            <color rgb="FF000000"/>
            <rFont val="Tahoma"/>
            <family val="2"/>
          </rPr>
          <t xml:space="preserve">ngrese manualmente el porcentaje seleccionado. Debe coincidir con el rango de porcentaje calculado
</t>
        </r>
      </text>
    </comment>
    <comment ref="A34" authorId="2" shapeId="0">
      <text>
        <r>
          <rPr>
            <b/>
            <sz val="9"/>
            <color indexed="81"/>
            <rFont val="Tahoma"/>
            <family val="2"/>
          </rPr>
          <t>USER:</t>
        </r>
        <r>
          <rPr>
            <sz val="9"/>
            <color indexed="81"/>
            <rFont val="Tahoma"/>
            <family val="2"/>
          </rPr>
          <t xml:space="preserve">
USER:
Favor digitar el valor correspondiente al presupuesto total de ingresos asignado si aplica</t>
        </r>
      </text>
    </comment>
    <comment ref="A39" authorId="2" shapeId="0">
      <text>
        <r>
          <rPr>
            <b/>
            <sz val="9"/>
            <color indexed="81"/>
            <rFont val="Tahoma"/>
            <family val="2"/>
          </rPr>
          <t>USER:</t>
        </r>
        <r>
          <rPr>
            <sz val="9"/>
            <color indexed="81"/>
            <rFont val="Tahoma"/>
            <family val="2"/>
          </rPr>
          <t xml:space="preserve">
USER:
Favor digitar el valor correspondiente al presupuesto total de gastos del sujeto</t>
        </r>
      </text>
    </comment>
    <comment ref="C43" authorId="2" shapeId="0">
      <text>
        <r>
          <rPr>
            <b/>
            <sz val="9"/>
            <color indexed="81"/>
            <rFont val="Tahoma"/>
            <family val="2"/>
          </rPr>
          <t>USER:</t>
        </r>
        <r>
          <rPr>
            <sz val="9"/>
            <color indexed="81"/>
            <rFont val="Tahoma"/>
            <family val="2"/>
          </rPr>
          <t xml:space="preserve">
Coloque los saldos de los respectivos rubros si aplica</t>
        </r>
      </text>
    </comment>
    <comment ref="C44" authorId="2" shapeId="0">
      <text>
        <r>
          <rPr>
            <b/>
            <sz val="9"/>
            <color indexed="81"/>
            <rFont val="Tahoma"/>
            <family val="2"/>
          </rPr>
          <t>USER:</t>
        </r>
        <r>
          <rPr>
            <sz val="9"/>
            <color indexed="81"/>
            <rFont val="Tahoma"/>
            <family val="2"/>
          </rPr>
          <t xml:space="preserve">
USER:
favor digitar el valor total correspondiente a este rubro presupuetal</t>
        </r>
      </text>
    </comment>
    <comment ref="C45" authorId="2" shapeId="0">
      <text>
        <r>
          <rPr>
            <b/>
            <sz val="9"/>
            <color indexed="81"/>
            <rFont val="Tahoma"/>
            <family val="2"/>
          </rPr>
          <t>USER:</t>
        </r>
        <r>
          <rPr>
            <sz val="9"/>
            <color indexed="81"/>
            <rFont val="Tahoma"/>
            <family val="2"/>
          </rPr>
          <t xml:space="preserve">
USER:
favor digitar el valor total correspondiente a este rubro presupuetal</t>
        </r>
      </text>
    </comment>
    <comment ref="C46" authorId="2" shapeId="0">
      <text>
        <r>
          <rPr>
            <b/>
            <sz val="9"/>
            <color indexed="81"/>
            <rFont val="Tahoma"/>
            <family val="2"/>
          </rPr>
          <t>USER:</t>
        </r>
        <r>
          <rPr>
            <sz val="9"/>
            <color indexed="81"/>
            <rFont val="Tahoma"/>
            <family val="2"/>
          </rPr>
          <t xml:space="preserve">
USER:
favor digitar el valor total correspondiente a este rubro presupuetal</t>
        </r>
      </text>
    </comment>
    <comment ref="C47" authorId="2" shapeId="0">
      <text>
        <r>
          <rPr>
            <b/>
            <sz val="9"/>
            <color indexed="81"/>
            <rFont val="Tahoma"/>
            <family val="2"/>
          </rPr>
          <t>USER:</t>
        </r>
        <r>
          <rPr>
            <sz val="9"/>
            <color indexed="81"/>
            <rFont val="Tahoma"/>
            <family val="2"/>
          </rPr>
          <t xml:space="preserve">
USER:
favor digitar el valor total correspondiente a este rubro presupuetal</t>
        </r>
      </text>
    </comment>
    <comment ref="C48" authorId="2" shapeId="0">
      <text>
        <r>
          <rPr>
            <b/>
            <sz val="9"/>
            <color indexed="81"/>
            <rFont val="Tahoma"/>
            <family val="2"/>
          </rPr>
          <t>USER:</t>
        </r>
        <r>
          <rPr>
            <sz val="9"/>
            <color indexed="81"/>
            <rFont val="Tahoma"/>
            <family val="2"/>
          </rPr>
          <t xml:space="preserve">
USER:
favor digitar el valor total correspondiente a este rubro presupuetal</t>
        </r>
      </text>
    </comment>
    <comment ref="C49" authorId="2" shapeId="0">
      <text>
        <r>
          <rPr>
            <b/>
            <sz val="9"/>
            <color indexed="81"/>
            <rFont val="Tahoma"/>
            <family val="2"/>
          </rPr>
          <t>USER:</t>
        </r>
        <r>
          <rPr>
            <sz val="9"/>
            <color indexed="81"/>
            <rFont val="Tahoma"/>
            <family val="2"/>
          </rPr>
          <t xml:space="preserve">
USER:
favor digitar el valor total correspondiente a este rubro presupuetal</t>
        </r>
      </text>
    </comment>
    <comment ref="A52" authorId="0" shapeId="0">
      <text>
        <r>
          <rPr>
            <b/>
            <sz val="9"/>
            <color indexed="81"/>
            <rFont val="Tahoma"/>
            <family val="2"/>
          </rPr>
          <t>Escriba las razones por las cuales, según su juicio profesional, seleccionó el % y en caso de que se haya seleccionado con otro criterio diferente a los sugeridos, justifique.</t>
        </r>
      </text>
    </comment>
    <comment ref="A53" authorId="0" shapeId="0">
      <text>
        <r>
          <rPr>
            <b/>
            <sz val="9"/>
            <color rgb="FF000000"/>
            <rFont val="Tahoma"/>
            <family val="2"/>
          </rPr>
          <t xml:space="preserve">Escriba las razones por las cuales, según su juicio profesional, seleccionó el porcentaje
</t>
        </r>
        <r>
          <rPr>
            <b/>
            <sz val="9"/>
            <color rgb="FF000000"/>
            <rFont val="Tahoma"/>
            <family val="2"/>
          </rPr>
          <t xml:space="preserve"> y en caso de que el porcentaje se haya seleccionado con otro criterio diferente a los sugeridos, justifique.</t>
        </r>
      </text>
    </comment>
    <comment ref="A58" authorId="0" shapeId="0">
      <text>
        <r>
          <rPr>
            <sz val="9"/>
            <color indexed="81"/>
            <rFont val="Tahoma"/>
            <family val="2"/>
          </rPr>
          <t>Recuerde que esta materialidad no es obligatoria, si considera que no hay motivos para calcular una cualitativa, escriba "no se determinó materialidad cualitativa"</t>
        </r>
      </text>
    </comment>
    <comment ref="B60" authorId="3" shapeId="0">
      <text>
        <r>
          <rPr>
            <sz val="11"/>
            <color indexed="81"/>
            <rFont val="Tahoma"/>
            <family val="2"/>
          </rPr>
          <t>Ingrese el % de acuerdo al nivel del riesgo combinado</t>
        </r>
        <r>
          <rPr>
            <sz val="9"/>
            <color indexed="81"/>
            <rFont val="Tahoma"/>
            <family val="2"/>
          </rPr>
          <t xml:space="preserve">
</t>
        </r>
      </text>
    </comment>
    <comment ref="E60" authorId="3" shapeId="0">
      <text>
        <r>
          <rPr>
            <sz val="11"/>
            <color indexed="81"/>
            <rFont val="Tahoma"/>
            <family val="2"/>
          </rPr>
          <t xml:space="preserve">Ingresar el valor de la materialidad de planeación MP Cuantitativa de la Base seleccionada
</t>
        </r>
      </text>
    </comment>
    <comment ref="E70" authorId="3" shapeId="0">
      <text>
        <r>
          <rPr>
            <sz val="11"/>
            <color indexed="81"/>
            <rFont val="Tahoma"/>
            <family val="2"/>
          </rPr>
          <t>Ingresar el valor de la materialidad de planeación MP Cuantitativa de la Base seleccionada</t>
        </r>
        <r>
          <rPr>
            <sz val="14"/>
            <color indexed="81"/>
            <rFont val="Tahoma"/>
            <family val="2"/>
          </rPr>
          <t xml:space="preserve">
 </t>
        </r>
      </text>
    </comment>
    <comment ref="E74" authorId="3" shapeId="0">
      <text>
        <r>
          <rPr>
            <sz val="11"/>
            <color indexed="81"/>
            <rFont val="Tahoma"/>
            <family val="2"/>
          </rPr>
          <t xml:space="preserve">Ingresar el valor del saldo, transacción u operación </t>
        </r>
        <r>
          <rPr>
            <sz val="14"/>
            <color indexed="81"/>
            <rFont val="Tahoma"/>
            <family val="2"/>
          </rPr>
          <t xml:space="preserve">
</t>
        </r>
      </text>
    </comment>
  </commentList>
</comments>
</file>

<file path=xl/comments4.xml><?xml version="1.0" encoding="utf-8"?>
<comments xmlns="http://schemas.openxmlformats.org/spreadsheetml/2006/main">
  <authors>
    <author>USER</author>
    <author>contrabog</author>
    <author xml:space="preserve"> </author>
  </authors>
  <commentList>
    <comment ref="D11" authorId="0" shapeId="0">
      <text>
        <r>
          <rPr>
            <b/>
            <sz val="9"/>
            <color rgb="FF000000"/>
            <rFont val="Tahoma"/>
            <family val="2"/>
          </rPr>
          <t>USER:</t>
        </r>
        <r>
          <rPr>
            <sz val="9"/>
            <color rgb="FF000000"/>
            <rFont val="Tahoma"/>
            <family val="2"/>
          </rPr>
          <t xml:space="preserve">
Seleccione de la lista desplegable el proceso que le aplique y diligencie según el caso.</t>
        </r>
      </text>
    </comment>
    <comment ref="F16" authorId="1" shapeId="0">
      <text>
        <r>
          <rPr>
            <b/>
            <sz val="9"/>
            <color indexed="81"/>
            <rFont val="Tahoma"/>
            <family val="2"/>
          </rPr>
          <t>contrabog:</t>
        </r>
        <r>
          <rPr>
            <sz val="9"/>
            <color indexed="81"/>
            <rFont val="Tahoma"/>
            <family val="2"/>
          </rPr>
          <t xml:space="preserve">
Lista desplegable</t>
        </r>
      </text>
    </comment>
    <comment ref="G16" authorId="1" shapeId="0">
      <text>
        <r>
          <rPr>
            <b/>
            <sz val="9"/>
            <color indexed="81"/>
            <rFont val="Tahoma"/>
            <family val="2"/>
          </rPr>
          <t>contrabog:</t>
        </r>
        <r>
          <rPr>
            <sz val="9"/>
            <color indexed="81"/>
            <rFont val="Tahoma"/>
            <family val="2"/>
          </rPr>
          <t xml:space="preserve">
Lista desplegable</t>
        </r>
      </text>
    </comment>
    <comment ref="H23" authorId="2" shapeId="0">
      <text>
        <r>
          <rPr>
            <b/>
            <sz val="8"/>
            <color rgb="FF000000"/>
            <rFont val="Tahoma"/>
            <family val="2"/>
          </rPr>
          <t xml:space="preserve">Se ingresa la meta en la unidad de medida correspondiente (ej  meta 1200 cupos </t>
        </r>
      </text>
    </comment>
    <comment ref="I23" authorId="2" shapeId="0">
      <text>
        <r>
          <rPr>
            <b/>
            <sz val="8"/>
            <color indexed="81"/>
            <rFont val="Tahoma"/>
            <family val="2"/>
          </rPr>
          <t xml:space="preserve"> se incluye el resultado en la unidad de medida  correspondiente(ej se ejecutaron 800 cupos)
</t>
        </r>
        <r>
          <rPr>
            <sz val="8"/>
            <color indexed="81"/>
            <rFont val="Tahoma"/>
            <family val="2"/>
          </rPr>
          <t xml:space="preserve">
</t>
        </r>
      </text>
    </comment>
    <comment ref="N23" authorId="2" shapeId="0">
      <text>
        <r>
          <rPr>
            <b/>
            <sz val="10"/>
            <color indexed="81"/>
            <rFont val="Tahoma"/>
            <family val="2"/>
          </rPr>
          <t>Presupuesto inicial prramadado</t>
        </r>
      </text>
    </comment>
    <comment ref="O23" authorId="2" shapeId="0">
      <text>
        <r>
          <rPr>
            <b/>
            <sz val="10"/>
            <color indexed="81"/>
            <rFont val="Tahoma"/>
            <family val="2"/>
          </rPr>
          <t>Presupuesto ejecutado o contratado.</t>
        </r>
      </text>
    </comment>
    <comment ref="Q23" authorId="2" shapeId="0">
      <text>
        <r>
          <rPr>
            <sz val="10"/>
            <color rgb="FF000000"/>
            <rFont val="Tahoma"/>
            <family val="2"/>
          </rPr>
          <t>Tiempo Programado para alcanzar la meta, según Plan Estratégico,proyecto o plan de acción</t>
        </r>
      </text>
    </comment>
    <comment ref="R23" authorId="2" shapeId="0">
      <text>
        <r>
          <rPr>
            <b/>
            <sz val="10"/>
            <color indexed="81"/>
            <rFont val="Tahoma"/>
            <family val="2"/>
          </rPr>
          <t xml:space="preserve"> : </t>
        </r>
        <r>
          <rPr>
            <sz val="10"/>
            <color indexed="81"/>
            <rFont val="Tahoma"/>
            <family val="2"/>
          </rPr>
          <t>Tiempo en que se logró la meta propuesta.</t>
        </r>
      </text>
    </comment>
    <comment ref="T23" authorId="2" shapeId="0">
      <text>
        <r>
          <rPr>
            <b/>
            <sz val="10"/>
            <color indexed="81"/>
            <rFont val="Tahoma"/>
            <family val="2"/>
          </rPr>
          <t>Presupuesto ejecutado o contratado.</t>
        </r>
      </text>
    </comment>
    <comment ref="U23" authorId="2" shapeId="0">
      <text>
        <r>
          <rPr>
            <b/>
            <sz val="10"/>
            <color rgb="FF000000"/>
            <rFont val="Tahoma"/>
            <family val="2"/>
          </rPr>
          <t>Giros</t>
        </r>
      </text>
    </comment>
  </commentList>
</comments>
</file>

<file path=xl/comments5.xml><?xml version="1.0" encoding="utf-8"?>
<comments xmlns="http://schemas.openxmlformats.org/spreadsheetml/2006/main">
  <authors>
    <author>Omar Eduardo</author>
  </authors>
  <commentList>
    <comment ref="N24" authorId="0" shapeId="0">
      <text>
        <r>
          <rPr>
            <sz val="9"/>
            <color indexed="81"/>
            <rFont val="Tahoma"/>
            <family val="2"/>
          </rPr>
          <t xml:space="preserve">CUANDO CORRESPONDA </t>
        </r>
      </text>
    </comment>
  </commentList>
</comments>
</file>

<file path=xl/comments6.xml><?xml version="1.0" encoding="utf-8"?>
<comments xmlns="http://schemas.openxmlformats.org/spreadsheetml/2006/main">
  <authors>
    <author>Contraloria</author>
    <author>tc={B83077C8-393B-4D90-9BB8-29A66010062B}</author>
  </authors>
  <commentList>
    <comment ref="F23" authorId="0" shapeId="0">
      <text>
        <r>
          <rPr>
            <b/>
            <sz val="9"/>
            <color indexed="81"/>
            <rFont val="Tahoma"/>
            <family val="2"/>
          </rPr>
          <t>Contraloria: SELECCIONE DE LA LISTA DESPLEGABLE LA VALORACIÓN OBTENIDA DE LA MATRIZ DE RIESGO Y CONTROLES PARA EL PROCESO DE GASTO PUBLICO (I17)</t>
        </r>
      </text>
    </comment>
    <comment ref="F28" authorId="1" shapeId="0">
      <text>
        <r>
          <rPr>
            <sz val="11"/>
            <color theme="1"/>
            <rFont val="Calibri"/>
            <family val="2"/>
            <scheme val="minor"/>
          </rPr>
          <t xml:space="preserve">Si no es posible cumplir con el tamaño mínimo de la muestra, dejar justificación en el Plan de Trabajo. </t>
        </r>
      </text>
    </comment>
    <comment ref="I65" authorId="0" shapeId="0">
      <text>
        <r>
          <rPr>
            <b/>
            <sz val="9"/>
            <color indexed="81"/>
            <rFont val="Tahoma"/>
            <family val="2"/>
          </rPr>
          <t>Contraloria:</t>
        </r>
        <r>
          <rPr>
            <sz val="9"/>
            <color indexed="81"/>
            <rFont val="Tahoma"/>
            <family val="2"/>
          </rPr>
          <t xml:space="preserve">
TRAER VALOR DE LA MATRIZ DE RIESGO FISCAL. O DE LA MATRIZ DE RIESGO CONTROL FISCAL INTERNO</t>
        </r>
      </text>
    </comment>
  </commentList>
</comments>
</file>

<file path=xl/comments7.xml><?xml version="1.0" encoding="utf-8"?>
<comments xmlns="http://schemas.openxmlformats.org/spreadsheetml/2006/main">
  <authors>
    <author>Roberto Jimenez Rodriguez</author>
    <author>administrador</author>
  </authors>
  <commentList>
    <comment ref="B11" authorId="0" shapeId="0">
      <text>
        <r>
          <rPr>
            <b/>
            <sz val="9"/>
            <color indexed="81"/>
            <rFont val="Tahoma"/>
            <family val="2"/>
          </rPr>
          <t>Roberto Jimenez Rodriguez:</t>
        </r>
        <r>
          <rPr>
            <sz val="9"/>
            <color indexed="81"/>
            <rFont val="Tahoma"/>
            <family val="2"/>
          </rPr>
          <t xml:space="preserve">
OCULTAR ESTA INFORMACIÓN
</t>
        </r>
      </text>
    </comment>
    <comment ref="D21" authorId="1" shapeId="0">
      <text>
        <r>
          <rPr>
            <b/>
            <sz val="9"/>
            <color indexed="81"/>
            <rFont val="Tahoma"/>
            <family val="2"/>
          </rPr>
          <t>Administrador:</t>
        </r>
        <r>
          <rPr>
            <sz val="9"/>
            <color indexed="81"/>
            <rFont val="Tahoma"/>
            <family val="2"/>
          </rPr>
          <t xml:space="preserve">
La lectura del Resultado debe interprestarse de acuerdo con la Naturaleza Juridica del Sujeto de Control Fiscal y su Régimen de Contratación Aplicable.</t>
        </r>
      </text>
    </comment>
  </commentList>
</comments>
</file>

<file path=xl/sharedStrings.xml><?xml version="1.0" encoding="utf-8"?>
<sst xmlns="http://schemas.openxmlformats.org/spreadsheetml/2006/main" count="4501" uniqueCount="1788">
  <si>
    <t>Dirección Sectorial:</t>
  </si>
  <si>
    <t>Sujeto de Control auditado:</t>
  </si>
  <si>
    <t>Vigencia auditada:</t>
  </si>
  <si>
    <t>Código Auditoría:</t>
  </si>
  <si>
    <t>Fecha de elaboración:</t>
  </si>
  <si>
    <t>Fecha de revisión</t>
  </si>
  <si>
    <t>CONTRATOS SUSCRITOS EN LA VIGENCIA AUDITAR</t>
  </si>
  <si>
    <t>MODALIDAD DE SELECCIÓN</t>
  </si>
  <si>
    <t>CANTIDAD CONTRATOS SUSCRITOS</t>
  </si>
  <si>
    <t>VALOR CONTRATOS</t>
  </si>
  <si>
    <t>% DEL VALOR TOTAL</t>
  </si>
  <si>
    <t>PAGOS REALIZADOS EN LA VIGENCIA A AUDITAR</t>
  </si>
  <si>
    <t>% DE PAGOS
(Total Pagado / Total Valor Contratos)</t>
  </si>
  <si>
    <t>1 LICITACIÓN PÚBLICA</t>
  </si>
  <si>
    <t>1 Licitación pública</t>
  </si>
  <si>
    <t>2 SELECCIÓN ABREVIADA</t>
  </si>
  <si>
    <t>2 Selección abreviada</t>
  </si>
  <si>
    <t>3 CONCURSO DE MÉRITOS</t>
  </si>
  <si>
    <t>3 Concurso de méritos</t>
  </si>
  <si>
    <t>4 MÍNIMA CUANTÍA</t>
  </si>
  <si>
    <t>4 Mínima cuantía</t>
  </si>
  <si>
    <t>5 CONTRATACIÓN DIRECTA</t>
  </si>
  <si>
    <t>5 Contratación directa</t>
  </si>
  <si>
    <t>6 CONTRATACIÓN DIRECTA POR URGENCIA MANIFIESTA</t>
  </si>
  <si>
    <t>6 Contratación directa por Urgencia Manifiesta</t>
  </si>
  <si>
    <t>7 CONVOCATORIA PÚBLICA</t>
  </si>
  <si>
    <t>7 Convocatoria pública</t>
  </si>
  <si>
    <t>8 OTRA REGIMEN ESPECIAL</t>
  </si>
  <si>
    <t>8 Otra Regimen Especial</t>
  </si>
  <si>
    <t>9 INVITACIÓN DIRECTA</t>
  </si>
  <si>
    <t>9 Invitación Directa</t>
  </si>
  <si>
    <t>10 INVITACIÓN PÚBLICA</t>
  </si>
  <si>
    <t>10 Invitación Pública</t>
  </si>
  <si>
    <t>11 INVITACIÓN CERRADA</t>
  </si>
  <si>
    <t>11 Invitación Cerrada</t>
  </si>
  <si>
    <t>TOTAL</t>
  </si>
  <si>
    <t>Fuente: SIVICOF
Nota: Eliminar las filas de las modalidades de selección donde no aplique o no se tengan datos</t>
  </si>
  <si>
    <t>TIPOLOGIA</t>
  </si>
  <si>
    <t xml:space="preserve"> 10-CONTRATO DE OBRA</t>
  </si>
  <si>
    <t xml:space="preserve"> 21-CONSULTORÍA (INTERVENTORÍA)</t>
  </si>
  <si>
    <t xml:space="preserve"> 22-CONSULTORÍA (GERENCIA DE OBRA)</t>
  </si>
  <si>
    <t xml:space="preserve"> 23-CONSULTORÍA (GERENCIA DE PROYECTO)</t>
  </si>
  <si>
    <t xml:space="preserve"> 24-CONSULTORÍA (ESTUDIOS Y DISEÑOS TECNICOS)</t>
  </si>
  <si>
    <t xml:space="preserve"> 25-CONSULTORÍA (ESTUDIOS DE PREFACTIBILIDAD Y FACTIBILIDAD)</t>
  </si>
  <si>
    <t xml:space="preserve"> 26-CONSULTORÍA (ASESORÍA TÉCNICA)</t>
  </si>
  <si>
    <t xml:space="preserve"> 29-CONSULTORÍA (OTROS)</t>
  </si>
  <si>
    <t xml:space="preserve"> 30-SERVICIOS DE MANTENIMIENTO Y/O REPARACIÓN</t>
  </si>
  <si>
    <t xml:space="preserve"> 31-SERVICIOS PROFESIONALES</t>
  </si>
  <si>
    <t xml:space="preserve"> 32-SERVICIOS ARTÍSTICOS</t>
  </si>
  <si>
    <t xml:space="preserve"> 33-SERVICIOS APOYO A LA GESTION DE LA ENTIDAD (SERVICIOS ADMINISTRATI</t>
  </si>
  <si>
    <t xml:space="preserve"> 34-SERVICIOS ASISTENCIALES DE SALUD</t>
  </si>
  <si>
    <t xml:space="preserve"> 35-SERVICIOS DE COMUNICACIONES</t>
  </si>
  <si>
    <t xml:space="preserve"> 36-SERVICIOS DE EDICIÓN</t>
  </si>
  <si>
    <t xml:space="preserve"> 37-SERVICIOS DE IMPRESIÓN</t>
  </si>
  <si>
    <t xml:space="preserve"> 38-SERVICIOS DE PUBLICACIÓN</t>
  </si>
  <si>
    <t xml:space="preserve"> 39-SERVICIOS DE CAPACITACIÓN</t>
  </si>
  <si>
    <t xml:space="preserve"> 40-SERVICIOS DE OUTSOURCING</t>
  </si>
  <si>
    <t xml:space="preserve"> 41-DESARROLLO DE PROYECTOS CULTURALES</t>
  </si>
  <si>
    <t xml:space="preserve"> 42-SUMINISTRO DE BIENES EN GENERAL</t>
  </si>
  <si>
    <t xml:space="preserve"> 43-SUMINISTRO DE SERVICIO DE VIGILANCIA</t>
  </si>
  <si>
    <t xml:space="preserve"> 44-SUMINISTRO DE SERVICIO DE ASEO</t>
  </si>
  <si>
    <t xml:space="preserve"> 45-SUMUNISTRO DE ALIMENTOS</t>
  </si>
  <si>
    <t xml:space="preserve"> 46-SUMUNISTRO DE MEDICAMENTOS</t>
  </si>
  <si>
    <t xml:space="preserve"> 48-OTROS SUMINISTROS</t>
  </si>
  <si>
    <t xml:space="preserve"> 49-OTROS SERVICIOS</t>
  </si>
  <si>
    <t xml:space="preserve"> 50-SERVICIOS DE TRANSPORTE</t>
  </si>
  <si>
    <t xml:space="preserve"> 51-CONCESIÓN (ADMINISTRACIÓN DE BIENES)</t>
  </si>
  <si>
    <t xml:space="preserve"> 52-CONCESIÓN (SERVICIOS PÚBLICOS DOMICILIARIOS)</t>
  </si>
  <si>
    <t xml:space="preserve"> 54-CONCESIÓN (SERVICIOS DE SALUD)</t>
  </si>
  <si>
    <t xml:space="preserve"> 55-CONCESIÓN (OBRA PÚBLICA)</t>
  </si>
  <si>
    <t xml:space="preserve"> 59-CONCESIÓN (OTROS)</t>
  </si>
  <si>
    <t xml:space="preserve"> 61-CONTRATO DE FIDUCIA O ENCARGO FIDUCIARIO</t>
  </si>
  <si>
    <t xml:space="preserve"> 62-CONTRATO DE ADMINISTRACIÓN PROFESIONAL DE ACCIONES</t>
  </si>
  <si>
    <t xml:space="preserve"> 63-LEASING</t>
  </si>
  <si>
    <t xml:space="preserve"> 65-DEPÓSITOS</t>
  </si>
  <si>
    <t xml:space="preserve"> 69-OTRO TIPO DE CONTRATO FINANCIERO</t>
  </si>
  <si>
    <t xml:space="preserve"> 71-CORRETAJE O INTERMEDIACIÓN DE SEGUROS</t>
  </si>
  <si>
    <t xml:space="preserve"> 72-CONTRATO DE SEGUROS</t>
  </si>
  <si>
    <t xml:space="preserve"> 79-OTRO TIPO DE CONTRATO DE SEGUROS</t>
  </si>
  <si>
    <t xml:space="preserve"> 81-ADMINISTRACIÓN Y CUSTODIA DE BONOS DEL PROGRAMA</t>
  </si>
  <si>
    <t xml:space="preserve"> 84-ADMINISTRACIÓN Y CUSTODIA DE VALORES</t>
  </si>
  <si>
    <t xml:space="preserve"> 86-REPRESENTACIÓN DE TENEDORES DE BONOS</t>
  </si>
  <si>
    <t xml:space="preserve"> 99-OTROS CONTRATOS DE TÍTULOS VALORES</t>
  </si>
  <si>
    <t xml:space="preserve"> 119-OTROS CONTRATOS DE ASOCIACIÓN</t>
  </si>
  <si>
    <t xml:space="preserve"> 121-COMPRAVENTA (BIENES MUEBLES)</t>
  </si>
  <si>
    <t xml:space="preserve"> 122-COMPRAVENTA (BIENES INMUEBLES)</t>
  </si>
  <si>
    <t xml:space="preserve"> 131-ARRENDAMIENTO DE BIENES MUEBLES</t>
  </si>
  <si>
    <t xml:space="preserve"> 132-ARRENDAMIENTO DE BIENES INMUEBLES</t>
  </si>
  <si>
    <t xml:space="preserve"> 133-ADMINISTRACIÓN Y ENAJENACIÓN DE INMUEBLES</t>
  </si>
  <si>
    <t xml:space="preserve"> 161-DERECHOS DE AUTOR O PROPIEDAD INTELECTUAL</t>
  </si>
  <si>
    <t xml:space="preserve"> 162-DERECHOS DE PROPIEDAD INDUSTRIAL</t>
  </si>
  <si>
    <t xml:space="preserve"> 164-TRANSFERENCIA DE TECNOLOGÍA</t>
  </si>
  <si>
    <t xml:space="preserve"> 169-OTRO TIPO DE CONTRATO DE DERECHOS DE PROPIEDAD</t>
  </si>
  <si>
    <t xml:space="preserve"> 201-CONVENIO DE COOPERACIÓN Y ASISTENCIA TÉCNICA</t>
  </si>
  <si>
    <t xml:space="preserve"> 209-OTROS CONTRATOS CON ORGANISMOS MULTILATERALES</t>
  </si>
  <si>
    <t xml:space="preserve"> 211-CONVENIO INTERADMINISTRATIVO</t>
  </si>
  <si>
    <t xml:space="preserve"> 212-CONVENIO INTERADMINISTRATIVO DE COFINANCIACIÓN</t>
  </si>
  <si>
    <t xml:space="preserve"> 213-CONVENIO ADMINISTRATIVO</t>
  </si>
  <si>
    <t xml:space="preserve"> 219-OTROS TIPO DE CONVENIOS</t>
  </si>
  <si>
    <t xml:space="preserve"> 901-PERMUTA DE BIENES MUEBLES</t>
  </si>
  <si>
    <t xml:space="preserve"> 903-MANDATO</t>
  </si>
  <si>
    <t xml:space="preserve"> 904-COMODATO</t>
  </si>
  <si>
    <t xml:space="preserve"> 906-DONACIÓN</t>
  </si>
  <si>
    <t xml:space="preserve"> 907-CESIÓN</t>
  </si>
  <si>
    <t xml:space="preserve"> 908-APROVECHAMIENTO ECONOMICO (DEPORTES)</t>
  </si>
  <si>
    <t xml:space="preserve"> 909-SUSCRIPCIONES, AFILIACIONES</t>
  </si>
  <si>
    <t xml:space="preserve"> 910-CONTRATO DE ADM/ON. MANTENIM. Y APROVECH. ECONÓMICO DEL ESPACIO P</t>
  </si>
  <si>
    <t xml:space="preserve"> 911-CONTRATO INTERADMINISTRATIVO</t>
  </si>
  <si>
    <t xml:space="preserve"> 912-ADMINISTRACION DE RECURSOS DEL REGIMEN SUBSIDIADO</t>
  </si>
  <si>
    <t xml:space="preserve"> 999-OTRO TIPO DE NATURALEZA DE CONTRATOS</t>
  </si>
  <si>
    <t>Nota: Eliminar las filas de las tipologías de contratación donde no aplique o no se tengan datos</t>
  </si>
  <si>
    <t>AÑO SUSCRIPCIÓN CONTRATOS</t>
  </si>
  <si>
    <t>….</t>
  </si>
  <si>
    <t>VR. PAGADO</t>
  </si>
  <si>
    <t>VALOR ADICIONADO EN LA VIGENCIA A AUDITAR</t>
  </si>
  <si>
    <t>Gastos de personal</t>
  </si>
  <si>
    <t>Adquisición de bienes y servicios</t>
  </si>
  <si>
    <t>Gerente - Lider:</t>
  </si>
  <si>
    <t>Dirección Sector:</t>
  </si>
  <si>
    <t xml:space="preserve">210000 - DIRECCIÓN SECTOR SERVICIOS PÚBLICOS </t>
  </si>
  <si>
    <t>269 - Agencia de Analítica de Datos SAS - AGATA</t>
  </si>
  <si>
    <t>Vigencia Auditada:</t>
  </si>
  <si>
    <t>Fecha de revisión:</t>
  </si>
  <si>
    <t>MONTO</t>
  </si>
  <si>
    <t>AUDITORÍA FINANCIERA Y DE GESTIÓN (o de Regularidad) ANTERIOR</t>
  </si>
  <si>
    <t>AUDITORIA ACTUAL</t>
  </si>
  <si>
    <t>Hallazgos configurados en la auditoría anterior - Proceso de Gasto Público</t>
  </si>
  <si>
    <t>Concepto del Proceso de Gasto Público de la auditoría anterior</t>
  </si>
  <si>
    <t>Calificación del Control Fiscal Interno de la auditoría anterior del Proceso de Gasto Público</t>
  </si>
  <si>
    <t>Valoración del Riesgo Residual o Combinado de la vigencia auditar del Proceso de Gasto Público</t>
  </si>
  <si>
    <t>Hallazgos con Incidencia Fiscal o con Presunta Incidencia Penal</t>
  </si>
  <si>
    <t>Inefectivo</t>
  </si>
  <si>
    <t>Con deficiencias</t>
  </si>
  <si>
    <t>Medio</t>
  </si>
  <si>
    <t>Porcentaje de Materialidad</t>
  </si>
  <si>
    <t>Parámetro para Concepto según Materialidad (100% - % Materialidad)</t>
  </si>
  <si>
    <t>Porcentaje de Muestreo Mínimo según Nivel de Riesgo</t>
  </si>
  <si>
    <t>Tamaño Mínimo de la Muestra</t>
  </si>
  <si>
    <t>Hallazgos vigencias anteriores?</t>
  </si>
  <si>
    <t>VALOR</t>
  </si>
  <si>
    <t>Conceptos Gasto vigencia anterior</t>
  </si>
  <si>
    <t>Universo</t>
  </si>
  <si>
    <t>Hallazgos con Presunta Incidencia Disciplinaria</t>
  </si>
  <si>
    <t>Moderadamente Efectivo</t>
  </si>
  <si>
    <t xml:space="preserve"> </t>
  </si>
  <si>
    <t>Hallazgos Administrativos</t>
  </si>
  <si>
    <t>Efectivo</t>
  </si>
  <si>
    <t>Sin hallazgos</t>
  </si>
  <si>
    <t>No hay</t>
  </si>
  <si>
    <t/>
  </si>
  <si>
    <t>Riesgo Residual período auditado</t>
  </si>
  <si>
    <t>Calificación CFI - Gasto Público</t>
  </si>
  <si>
    <t>Crítico</t>
  </si>
  <si>
    <t>Inexistente</t>
  </si>
  <si>
    <t>Alto</t>
  </si>
  <si>
    <t>Ineficiente</t>
  </si>
  <si>
    <t>Bajo</t>
  </si>
  <si>
    <t>Eficiente</t>
  </si>
  <si>
    <t>Muestra Mín</t>
  </si>
  <si>
    <t>Mínimo con Concepto Vig Anterior</t>
  </si>
  <si>
    <t>Mínimo SIN Concepto Vig Anterior</t>
  </si>
  <si>
    <t>Riesgo de Control</t>
  </si>
  <si>
    <t>MATERIALIDAD</t>
  </si>
  <si>
    <t>Materialidad Relativa a la Muestra</t>
  </si>
  <si>
    <t>Parametro Minimo Concepto</t>
  </si>
  <si>
    <t>BAJO</t>
  </si>
  <si>
    <t>MEDIO</t>
  </si>
  <si>
    <t>ALTO</t>
  </si>
  <si>
    <t>ENTIDAD</t>
  </si>
  <si>
    <t xml:space="preserve">CONTRATO O GASTO </t>
  </si>
  <si>
    <t xml:space="preserve">NUMERO DE CONTRATO O GASTO </t>
  </si>
  <si>
    <t>PARAMETRO MÍNIMO PARA CONCEPTO FAVORABLE</t>
  </si>
  <si>
    <t>FECHA DE SUSCRIPCIÓN</t>
  </si>
  <si>
    <t>TIPO DE MONEDA</t>
  </si>
  <si>
    <t>TASA REPRESENTATIVA DE MERCADO</t>
  </si>
  <si>
    <t>VALOR TOTAL CONTRATO O GASTO EN PESOS</t>
  </si>
  <si>
    <t xml:space="preserve">VALOR TOTAL AUDITADO DE LA VIGENCIA EN PESOS </t>
  </si>
  <si>
    <t>PRINCIPIO</t>
  </si>
  <si>
    <t>CALIFICACION</t>
  </si>
  <si>
    <t>RESULTADO</t>
  </si>
  <si>
    <t>PERIODO EVALUADO DEL CONTRATO O GASTO</t>
  </si>
  <si>
    <t>Del 01-12-2018 al 09-09-2020</t>
  </si>
  <si>
    <t>Del 06-12-2016 al 17-09-2019</t>
  </si>
  <si>
    <t>Del 21-07-2017 al 21-10-2020</t>
  </si>
  <si>
    <t>Del 26-06-2019 al 10-11-2020</t>
  </si>
  <si>
    <t>Del 18-12-2019 al 15-07-2020</t>
  </si>
  <si>
    <t>Del 26-06-2019 al 31-08-2020</t>
  </si>
  <si>
    <t>ECONOMÍA</t>
  </si>
  <si>
    <t>TIPO DE CONTRATO O GASTO</t>
  </si>
  <si>
    <t>Contrato de Interventoría</t>
  </si>
  <si>
    <t>Convenio de Asociación</t>
  </si>
  <si>
    <t>Convenio Interadministrativo</t>
  </si>
  <si>
    <t>Contrato Interadministrativo</t>
  </si>
  <si>
    <t>EFICACIA</t>
  </si>
  <si>
    <t>NOMBRE DEL AUDITOR RESPONSABLE DEL CONTRATO</t>
  </si>
  <si>
    <t>EFICIENCIA</t>
  </si>
  <si>
    <t>ETAPA (S) A EVALUAR, SI APLICA</t>
  </si>
  <si>
    <t>ETAPA 1 Y 2</t>
  </si>
  <si>
    <t>TODAS LAS ETAPAS</t>
  </si>
  <si>
    <t>PONDERACIÓN DEL CONTRATO O GASTO</t>
  </si>
  <si>
    <t>CONCEPTO</t>
  </si>
  <si>
    <t>HALLAZGOS EN EL CONTRATO O GASTO ASOCIADO</t>
  </si>
  <si>
    <t>CON PRES. INCID. PENAL</t>
  </si>
  <si>
    <t>SIN HALLAZGOS</t>
  </si>
  <si>
    <t>CON PRES. INC. DISCIPLINARIA</t>
  </si>
  <si>
    <t>SOLO ADMINISTRATIVOS</t>
  </si>
  <si>
    <t>NUMERALES ASOCIADOS AL HALLAZGO</t>
  </si>
  <si>
    <t>ETAPA</t>
  </si>
  <si>
    <t>CONSTANTE</t>
  </si>
  <si>
    <t>PRINCIPIO DE LA GESTIÓN FISCAL</t>
  </si>
  <si>
    <t xml:space="preserve">RESULTADO DE LA GESTION DEL GASTO PÚBLICO </t>
  </si>
  <si>
    <t>CALIFICACIÓN</t>
  </si>
  <si>
    <t>PRECONTRACTUAL</t>
  </si>
  <si>
    <t>La contratación guarda coherencia con el Plan de Desarrollo (Planes, programas y proyectos de inversión y/o funcionamiento) o Plan Estratégico Corporativo (Objetivos Empresariales) y Plan Anual de Adquisiciones y Compras.</t>
  </si>
  <si>
    <t>La necesidad se ajustó al Plan de Desarrollo, Plan Estratégico Corporativo, Plan Anual de Adquisiciones y Compras, sus líneas de inversión y/o de funcionamiento, y fue coherente con los proyectos/ metas y/o rubro fuente de financiación.</t>
  </si>
  <si>
    <t xml:space="preserve">Se cuenta con un documento o instrumento que hace las veces de estudios previos o elemento mínimo de planeación, que permite identificar y justificar con claridad la necesidad de la contratación fundamentada en razones técnicas, económicas y jurídicas. </t>
  </si>
  <si>
    <t xml:space="preserve">Se identificó el documento o instrumento que hace las veces de estudios previos, en donde se define y se justifica adecuadamente la necesidad real de los bienes y/o servicios a contratar. </t>
  </si>
  <si>
    <t xml:space="preserve">El estudio técnico y presupuestal estimado para el contrato está acorde con los precios del mercado. </t>
  </si>
  <si>
    <t xml:space="preserve">El estudio técnico, presupuestal y de mercado, es riguroso y responde a las necesidades de los bienes y servicios descritos en los Estudios Previos y/o documento o instrumento que hace las veces, de acuerdo con el Régimen de Contratación Aplicable. </t>
  </si>
  <si>
    <t>Se contó con la competencia e idoneidad para adelantar el proceso de selección del contratista.</t>
  </si>
  <si>
    <t>El proceso de selección del contratista fue adelantado por personal idóneo dentro de los lineamientos de su competencia.</t>
  </si>
  <si>
    <t>Se identificó correctamente la modalidad de selección del contratista, conservando las condiciones y términos del proceso de selección.</t>
  </si>
  <si>
    <t>Se seleccionó al contratista con la modalidad de contratación conforme a la ley vigente del Régimen de Contratación Estatal y/o Régimen Jurídico Privado o especial, Manuales y/o Estatutos de Contratación Internos, acorde con el objeto contractual propuesto.</t>
  </si>
  <si>
    <t xml:space="preserve">Se permitió el acceso a todos los oferentes al proceso de selección cumpliendo con los requisitos de publicidad, transparencia y pluralidad de oferentes. </t>
  </si>
  <si>
    <t>El proceso de selección se realizó con objetividad, neutralidad y claridad de las reglas impuestas para la presentación de ofertas, cumpliendo con los principios de selección objetiva.</t>
  </si>
  <si>
    <t xml:space="preserve">El oferente y/o proveedor cumplió con la idoneidad y capacidad exigida para el desarrollo del objeto contractual. </t>
  </si>
  <si>
    <t>En la oferta se identificó claramente el proveedor, el tamaño de su empresa y no se evidenció posible colusión y/o acuerdos entre oferentes que afectaran la Selección y la Transparencia.</t>
  </si>
  <si>
    <t xml:space="preserve">ECONOMÍA </t>
  </si>
  <si>
    <t xml:space="preserve">Se contó con capacidad jurídica, técnica y financiera por el contratista que aseguró el desarrollo normal del contrato. (Certificado de Existencia y Representación Legal, Formulario de Registro Único Tributario). </t>
  </si>
  <si>
    <t xml:space="preserve">La experiencia acreditada de la oferta que se escogió tiene relación directa con el objeto contractual en su actividad económica y comercial. En casos aplicables al Régimen de Contratación Estatal se acreditó conforme a la codificación establecida por Colombia Compra Eficiente. </t>
  </si>
  <si>
    <t>Se efectuó la estimación, calificación y asignación de riesgos y constitución de garantías en esta etapa.</t>
  </si>
  <si>
    <t xml:space="preserve">Antes de cerrar el proceso precontractual se surtió la instancia (Audiencia) para la estimación, calificación y asignación de riesgos y se consideraron las garantías de acuerdo con las exigencias del compromiso (Documento que hizo las veces de pliego de condiciones). </t>
  </si>
  <si>
    <t xml:space="preserve">Se identificó y calificó los riesgos acorde a la necesidad real del bien y/o servicio a adquirir (CONPES -Teoría del riesgo previsible, asignación de riesgos) </t>
  </si>
  <si>
    <t>Los riesgos fueron amparados con las garantías derivadas de la etapa precontractual de conformidad con la ley vigente.  (Compañías de Seguros u otras Entidades autorizadas por la Superintendencia Financiera).</t>
  </si>
  <si>
    <t>CONTRACTUAL</t>
  </si>
  <si>
    <t>Los otrosí y/o suspensiones del contrato no generaron impacto económico, están debidamente justificados y fundamentados conforme al objeto contractual y en el mismo sentido se amplió y aprobó la vigencia de las garantías.
*Otrosí: adiciones, prórrogas, modificaciones.</t>
  </si>
  <si>
    <t xml:space="preserve">Los otrosí del contrato, contienen las justificaciones del interventor y/o supervisor, fundamentadas en causas reales y soportadas, y la vigencia de las garantías debidamente aprobadas. </t>
  </si>
  <si>
    <t xml:space="preserve">Las modificaciones contractuales no generaron impacto económico negativo o injustificado para el Sujeto de Vigilancia y Control Fiscal. (Se tuvieron en cuenta los elementos necesarios de la etapa precontractual en las modificaciones). </t>
  </si>
  <si>
    <t>Las mayores cantidades o ítems no previstos de obra que incrementaron el presupuesto del contrato, cuentan con un estudio de mercado justificado.</t>
  </si>
  <si>
    <t xml:space="preserve">El pago efectuado estuvo de acuerdo con las condiciones pactadas y la debida ejecución del contrato. </t>
  </si>
  <si>
    <t xml:space="preserve">La capacidad técnica, económica e idoneidad ofertada se mantuvieron durante la ejecución del contrato, (No se presentaron cambios en el objeto contractual derivados de las modificaciones). </t>
  </si>
  <si>
    <t>La supervisión y/o interventoría cumple eficazmente con los propósitos normativos vigentes y su vez con los procesos y procedimientos establecidos por el sujeto de vigilancia y control fiscal en sus instrumentos internos.</t>
  </si>
  <si>
    <t>Los informes de interventoría y/o supervisión dieron cuenta del cumplimiento de la totalidad de las obligaciones pactadas en el contrato, en forma clara, amplia y precisa.</t>
  </si>
  <si>
    <t xml:space="preserve">El supervisor efectuó revisiones y visitas periódicas a las obras ejecutadas, servicios prestados o bienes suministrados, verificando que ellos cumplieran con las condiciones ofrecidas por el contratista. </t>
  </si>
  <si>
    <t>El interventor y/o supervisor ejecutó sus funciones de acuerdo con las obligaciones y/o manual de interventoría y contratación interno y Estatal, reflejándose en los informes presentados, las condiciones técnicas, administrativas, económicas, financieras y legales verificadas.</t>
  </si>
  <si>
    <t>Las medidas de apremio fueron tramitadas oportunamente. (Sanciones por incumplimientos).</t>
  </si>
  <si>
    <t xml:space="preserve">La supervisión y/o interventoría adelantó oportunamente las gestiones necesarias para el reconocimiento y cobro de las sanciones pecuniarias, multas y garantías a que hubiere lugar. </t>
  </si>
  <si>
    <t xml:space="preserve">Los riesgos previsibles asegurados o asignados a cualquiera de las partes, se mitigaron adecuadamente. </t>
  </si>
  <si>
    <t xml:space="preserve">Se suscribieron las pólizas en los tiempos, amparos y condiciones pactadas y fueron debidamente aprobadas por el interventor y/o supervisor del contrato. </t>
  </si>
  <si>
    <t>Se mitigó adecuadamente un riesgo que no había sido asignado o previsto.</t>
  </si>
  <si>
    <t>Se adelantaron actuaciones administrativas en el cumplimiento de las obligaciones contractuales para hacer efectivas las garantías oportunamente y los montos recuperados cubrieron la totalidad del siniestro.</t>
  </si>
  <si>
    <t xml:space="preserve">Los bienes y servicios recibidos y pagados por el Sujeto de Vigilancia y Control Fiscal, fueron los efectivamente contratados. </t>
  </si>
  <si>
    <t>Los bienes y servicios contratados cumplieron con las condiciones pactadas en costo, cantidad, tiempo, calidad, especificaciones técnicas  y estaban funcionando adecuadamente al momento de la verificación. (Incluye recepción del producto - Actas de recibido a satisfacción).</t>
  </si>
  <si>
    <t>POSTCONTRACTUAL O LIQUIDACIÓN</t>
  </si>
  <si>
    <t>Se verificó el cumplimiento de las obligaciones contractuales y el pago de la totalidad del contrato declarándolo a paz y salvo. Así mismo, las obligaciones por cumplir o posteriores, fueron redactadas de forma clara, expresa y exigible para evitar reclamaciones futuras con sus respectivas pólizas y/o garantías.</t>
  </si>
  <si>
    <t xml:space="preserve">En el acta de liquidación, se evidenció el cumplimiento de las obligaciones contractuales, paz y salvos de lo cancelado al contratista y claramente detalladas en tiempo, costo y oportunidad las obligaciones reciprocas pendientes, así como, sus correspondientes pólizas y/o garantías. </t>
  </si>
  <si>
    <t xml:space="preserve">En la liquidación del contrato, se generó un instrumento de cruce de cuentas entre las partes.  </t>
  </si>
  <si>
    <t>En el instrumento y sus anexos se identificó claramente: el contrato, las partes, objeto y alcance, plazo, precio, pagos y facturaciones, amortizaciones, modificaciones, la forma de cómo se utilizó el anticipo (cuando aplique), prórrogas, adiciones, suspensiones,  balance financiero y cruce de cuentas conforme a la Ley vigente y Estatutos Internos del Sujeto de Vigilancia y Control Fiscal.</t>
  </si>
  <si>
    <t>Se evidenció el pagó conforme a los requisitos establecidos en las obligaciones pactadas en el contrato, sus manuales internos, la ley vigente comercial, contable y tributaria.</t>
  </si>
  <si>
    <t xml:space="preserve">El reintegro de los rendimientos, excedentes y la administración del anticipo, se realizó conforme a lo pactado en el contrato, lo que ordena la Ley vigente como garantía y lo dispuesto en los Estatutos Internos y Procedimientos impartidos por cada Sujeto de Vigilancia y Control Fiscal. </t>
  </si>
  <si>
    <t xml:space="preserve">Los costos de la comisión, gastos y gravámenes por movimiento financiero, fueron cubiertos por el contratista, sin afectar el valor del anticipo. </t>
  </si>
  <si>
    <t>Se determinó si existen o no prestaciones por ejecutar con su correlativa valoración económica. (Acta de liquidación u otro documento)</t>
  </si>
  <si>
    <t xml:space="preserve">En la liquidación del contrato, los bienes y servicios recibidos y pagados por el Sujeto de Vigilancia y Control Fiscal, fueron los efectivamente contratados. </t>
  </si>
  <si>
    <t>En la liquidación del contrato se verificó, que los bienes y servicios recibidos cumplieron con las condiciones pactadas en cantidad, calidad, especificaciones técnicas, oportunidad y estaban funcionando adecuadamente. (Incluye recepción del producto - Actas de recibido a satisfacción).</t>
  </si>
  <si>
    <t xml:space="preserve">Por incumplimiento de las obligaciones contractuales, el Sujeto de Vigilancia y Control Fiscal, ejecutó acciones orientadas a resarcir el daño ocasionado. </t>
  </si>
  <si>
    <t xml:space="preserve">Se determinó que los productos o servicios contratados contribuyeron al cumplimiento de los objetivos del Plan de Desarrollo (Planes, programas y proyectos de inversión y/o funcionamiento) o Plan Estratégico Corporativo (Objetivos Empresariales) y Plan Anual de Adquisiciones y Compras. </t>
  </si>
  <si>
    <t>Los bienes y servicios recibidos suplieron efectivamente la necesidad que origino el contrato y apuntaron al cumplimiento de las metas del plan.</t>
  </si>
  <si>
    <t xml:space="preserve">El beneficio obtenido con la ejecución del contrato es verificable; además contribuyó con los objetivos y las metas del proyecto de inversión y/o funcionamiento. </t>
  </si>
  <si>
    <t>OTROS</t>
  </si>
  <si>
    <t>Otros Resultados no definidos en las variables que le anteceden y son producto de la evaluación del proceso auditor.</t>
  </si>
  <si>
    <t>CALIFICACION  CONTRATO</t>
  </si>
  <si>
    <t>EFICACIA DEL CONTRATO</t>
  </si>
  <si>
    <t>ECONOMÍA DEL CONTRATO</t>
  </si>
  <si>
    <t>EFICIENCIA DEL CONTRATO</t>
  </si>
  <si>
    <t>CALIFICACION PONDERADA POR PRINCIPIO</t>
  </si>
  <si>
    <t>EFICACIA PONDERADA POR CONTRATO</t>
  </si>
  <si>
    <t>ECONOMÍA PONDERADA POR CONTRATO</t>
  </si>
  <si>
    <t>EFICIENCIA PONDERADA POR CONTRATO</t>
  </si>
  <si>
    <t>TOTAL CONTRATO</t>
  </si>
  <si>
    <t>RANGOS DE CALIFICACIÓN DE LA GESTIÓN DEL PROCESO DE GASTO PÚBLICO</t>
  </si>
  <si>
    <t>COP</t>
  </si>
  <si>
    <t>NIVEL DE RIESGO</t>
  </si>
  <si>
    <t>USD</t>
  </si>
  <si>
    <t>Concepto</t>
  </si>
  <si>
    <t>MÁXIMO</t>
  </si>
  <si>
    <t>MÍNIMO</t>
  </si>
  <si>
    <t>DESFAVORABLE</t>
  </si>
  <si>
    <t>INEFECTIVO</t>
  </si>
  <si>
    <t>EFECTIVO</t>
  </si>
  <si>
    <t>CON OBSERVACIONES</t>
  </si>
  <si>
    <t>MODERADAMENTE EFECTIVO</t>
  </si>
  <si>
    <t>FAVORABLE</t>
  </si>
  <si>
    <t>RESULTADO DEL EJERCICIO AUDITOR</t>
  </si>
  <si>
    <t>cuantitativa</t>
  </si>
  <si>
    <t>CON INCIDENCIA FISCAL</t>
  </si>
  <si>
    <t>CON INCID. FISCAL Y PRES. DISCIPLINARIA</t>
  </si>
  <si>
    <t>CON INCID. FISCAL Y PRES. PENAL</t>
  </si>
  <si>
    <t>cualitativa</t>
  </si>
  <si>
    <t>CON INCID. FISCAL, PRES. DISCPL Y PENAL</t>
  </si>
  <si>
    <t>CON PRES. INC. PENAL Y DISCIPLINARIA</t>
  </si>
  <si>
    <t>Sujetos de Control Fiscal</t>
  </si>
  <si>
    <t xml:space="preserve">1 - Fondo de Desarrollo Local de Usaquén. </t>
  </si>
  <si>
    <t>CÓDIGO</t>
  </si>
  <si>
    <t>DEPENDENCIA</t>
  </si>
  <si>
    <t>CONCATENADO</t>
  </si>
  <si>
    <t xml:space="preserve">10 - Fondo de Desarrollo Local de Engativá. </t>
  </si>
  <si>
    <t xml:space="preserve">DIRECCIÓN SECTOR SALUD </t>
  </si>
  <si>
    <t xml:space="preserve">100 - Concejo de Bogotá, D.C. </t>
  </si>
  <si>
    <t xml:space="preserve">DIRECCIÓN SECTOR GOBIERNO </t>
  </si>
  <si>
    <t xml:space="preserve">102 - Personería de Bogotá. </t>
  </si>
  <si>
    <t xml:space="preserve">DIRECCIÓN DE PARTICIPACIÓN CIUDADANA Y DESARROLLO LOCAL </t>
  </si>
  <si>
    <t xml:space="preserve">104 - Secretaría General de la Alcaldía Mayor de Bogotá, D.C. – SGAMB. </t>
  </si>
  <si>
    <t xml:space="preserve">DIRECCIÓN SECTOR EQUIDAD Y GÉNERO </t>
  </si>
  <si>
    <t xml:space="preserve">105 - Veeduría Distrital. </t>
  </si>
  <si>
    <t>GERENCIA LOCAL USAQUÉN</t>
  </si>
  <si>
    <t xml:space="preserve">11 - Fondo de Desarrollo Local de Suba. </t>
  </si>
  <si>
    <t xml:space="preserve">GERENCIA LOCAL CHAPINERO </t>
  </si>
  <si>
    <t xml:space="preserve">110 - Secretaría Distrital de Gobierno – SDG. </t>
  </si>
  <si>
    <t>GERENCIA LOCAL SANTAFÉ</t>
  </si>
  <si>
    <t xml:space="preserve">111 - Secretaría Distrital de Hacienda – SDH. </t>
  </si>
  <si>
    <t xml:space="preserve">GERENCIA LOCAL SAN CRISTÓBAL </t>
  </si>
  <si>
    <t xml:space="preserve">112 - Secretaría de Educación del Distrito – SED - Fondos de Servicios Educativos de los Colegios e Instituciones adscritas a la Secretaría de Educación del Distrito. </t>
  </si>
  <si>
    <t xml:space="preserve">GERENCIA LOCAL USME </t>
  </si>
  <si>
    <t xml:space="preserve">113 - Secretaría Distrital de Movilidad – SDM. </t>
  </si>
  <si>
    <t xml:space="preserve">GERENCIA LOCAL TUNJUELLTO </t>
  </si>
  <si>
    <t xml:space="preserve">114 - Secretaría Distrital de Salud – SDS. </t>
  </si>
  <si>
    <t xml:space="preserve">GERENCIA LOCAL BOSA </t>
  </si>
  <si>
    <t xml:space="preserve">117 - Secretaría Distrital de Desarrollo Económico – SDDE. </t>
  </si>
  <si>
    <t xml:space="preserve">GERENCIA LOCAL KENNEDY </t>
  </si>
  <si>
    <t xml:space="preserve">118 - Secretaría Distrital del Hábitat - SDHT. </t>
  </si>
  <si>
    <t xml:space="preserve">GERENCIA LOCAL FONTIBÓN </t>
  </si>
  <si>
    <t xml:space="preserve">119 - Secretaría Distrital de Cultura, Recreación y Deporte – SDCRD. </t>
  </si>
  <si>
    <t xml:space="preserve">GERENCIA LOCAL ENGATIVÁ </t>
  </si>
  <si>
    <t xml:space="preserve">12 - Fondo de Desarrollo Local de Barrios Unidos. </t>
  </si>
  <si>
    <t xml:space="preserve">GERENCIA LOCAL SUBA </t>
  </si>
  <si>
    <t xml:space="preserve">120 - Secretaría Distrital de Planeación – SDP. </t>
  </si>
  <si>
    <t xml:space="preserve">GERENCIA LOCAL BARRIOS UNIDOS </t>
  </si>
  <si>
    <t xml:space="preserve">121 - Secretaría Distrital de la Mujer – SDM. </t>
  </si>
  <si>
    <t xml:space="preserve">GERENCIA LOCAL TEUSAQUILLO </t>
  </si>
  <si>
    <t xml:space="preserve">122 - Secretaría Distrital de Integración Social – SDIS. </t>
  </si>
  <si>
    <t xml:space="preserve">GERENCIA LOCAL MÁRTIRES </t>
  </si>
  <si>
    <t xml:space="preserve">125 - Departamento Administrativo del Servicio Civil Distrital – DASCD. </t>
  </si>
  <si>
    <t>GERENCIA LOCAL ANTONIO NARIÑO</t>
  </si>
  <si>
    <t xml:space="preserve">126 - Secretaría Distrital de Ambiente – SDA. </t>
  </si>
  <si>
    <t xml:space="preserve">GERENCIA LOCAL PUENTE ARANDA </t>
  </si>
  <si>
    <t xml:space="preserve">127 - Departamento Administrativo de la Defensoría del Espacio Público – DADEP. </t>
  </si>
  <si>
    <t xml:space="preserve">GERENCIA LOCAL LA CANDELARIA </t>
  </si>
  <si>
    <t xml:space="preserve">13 - Fondo de Desarrollo Local de Teusaquillo. </t>
  </si>
  <si>
    <t>GERENCIA LOCAL RAFAEL URIBE URIBE</t>
  </si>
  <si>
    <t xml:space="preserve">131 - Unidad Administrativa Especial del Cuerpo Oficial de Bomberos de Bogotá – UAECOB. </t>
  </si>
  <si>
    <t xml:space="preserve">GERENCIA LOCAL CIUDAD BOLIVAR </t>
  </si>
  <si>
    <t xml:space="preserve">136 - Secretaría Jurídica Distrital – SJD. </t>
  </si>
  <si>
    <t xml:space="preserve">GERENCIA LOCAL SUMAPAZ </t>
  </si>
  <si>
    <t xml:space="preserve">137 - Secretaría Distrital de Seguridad, Convivencia y Justicia – SDSCJ. </t>
  </si>
  <si>
    <t xml:space="preserve">DIRECCIÓN SECTOR HÁBITAT Y AMBIENTE </t>
  </si>
  <si>
    <t xml:space="preserve">14 - Fondo de Desarrollo Local de Los Mártires. </t>
  </si>
  <si>
    <t xml:space="preserve">DIRECCIÓN SECTOR EDUCACIÓN </t>
  </si>
  <si>
    <t xml:space="preserve">15 - Fondo de Desarrollo Local de Antonio Nariño. </t>
  </si>
  <si>
    <t xml:space="preserve">DIRECCIÓN SECTOR HACIENDA </t>
  </si>
  <si>
    <t xml:space="preserve">16 - Fondo de Desarrollo Local de Puente Aranda. </t>
  </si>
  <si>
    <t xml:space="preserve">DIRECCIÓN SECTOR DESARROLLO ECONÓMICO, INDUSTRIA Y TURISMO </t>
  </si>
  <si>
    <t xml:space="preserve">17 - Fondo de Desarrollo Local de La Candelaria. </t>
  </si>
  <si>
    <t xml:space="preserve">DIRECCIÓN SECTOR INTEGRACIÓN SOCIAL </t>
  </si>
  <si>
    <t xml:space="preserve">18 - Fondo de Desarrollo Local de Rafael Uribe Uribe. </t>
  </si>
  <si>
    <t xml:space="preserve">DIRECCIÓN SECTOR SERVICIOS PÚBLICOS </t>
  </si>
  <si>
    <t xml:space="preserve">19 - Fondo de Desarrollo Local de Ciudad Bolívar. </t>
  </si>
  <si>
    <t xml:space="preserve">DIRECCIÓN SECTOR CULTURA, RECREACIÓN Y DEPORTE </t>
  </si>
  <si>
    <t xml:space="preserve">2 - Fondo de Desarrollo Local de Chapinero. </t>
  </si>
  <si>
    <t>DIRECCIÓN SECTOR SEGURIDAD, CONVIVENCIA Y JUSTICIA</t>
  </si>
  <si>
    <t xml:space="preserve">20 - Fondo de Desarrollo Local de Sumapaz. </t>
  </si>
  <si>
    <t xml:space="preserve">DIRECCIÓN SECTOR MOVILIDAD </t>
  </si>
  <si>
    <t xml:space="preserve">200 - Instituto para la Economía Social – IPES. </t>
  </si>
  <si>
    <t xml:space="preserve">DIRECCIÓN SECTOR GESTIÓN JURIDICA </t>
  </si>
  <si>
    <t xml:space="preserve">201 - Fondo Financiero Distrital de Salud – FFDS. </t>
  </si>
  <si>
    <t xml:space="preserve">202 - Curaduría Urbana N° 1 de Bogotá. </t>
  </si>
  <si>
    <t xml:space="preserve">203 - Instituto Distrital de Gestión de Riesgos y Cambio Climático – IDIGER. </t>
  </si>
  <si>
    <t xml:space="preserve">204 - Instituto de Desarrollo Urbano – IDU. </t>
  </si>
  <si>
    <t xml:space="preserve">205 - Curaduría Urbana N° 2 de Bogotá. </t>
  </si>
  <si>
    <t xml:space="preserve">206 - Fondo de Prestaciones Económicas, Cesantías y Pensiones – FONCEP. </t>
  </si>
  <si>
    <t xml:space="preserve">207 - Curaduría Urbana N° 4 de Bogotá. </t>
  </si>
  <si>
    <t xml:space="preserve">208 - Caja de Vivienda Popular – CVP. </t>
  </si>
  <si>
    <t xml:space="preserve">209 - Curaduría Urbana N° 3 de Bogotá. </t>
  </si>
  <si>
    <t xml:space="preserve">210 - Curaduría Urbana N° 5 de Bogotá. </t>
  </si>
  <si>
    <t xml:space="preserve">211 - Instituto Distrital de Recreación y Deporte – IDRD. </t>
  </si>
  <si>
    <t xml:space="preserve">213 - Instituto Distrital de Patrimonio Cultural – IDPC. </t>
  </si>
  <si>
    <t>214 - Instituto Distrital para la Protección de la Niñez y la Juventud – IDIPRON.</t>
  </si>
  <si>
    <t xml:space="preserve">215 - Fundación Gilberto Álzate Avendaño – FUGA. </t>
  </si>
  <si>
    <t xml:space="preserve">216 - Orquesta Filarmónica de Bogotá – OFB. </t>
  </si>
  <si>
    <t xml:space="preserve">218 - Jardín Botánico José Celestino Mutis – JBJCM. </t>
  </si>
  <si>
    <t xml:space="preserve">219 - Instituto para la Investigación Educativa y el Desarrollo Pedagógico – IDEP. </t>
  </si>
  <si>
    <t xml:space="preserve">220 - Instituto Distrital de la Participación y Acción Comunal – IDPAC. </t>
  </si>
  <si>
    <t xml:space="preserve">221 - Instituto Distrital de Turismo – IDT. </t>
  </si>
  <si>
    <t xml:space="preserve">222 - Instituto Distrital de las Artes – IDARTES. </t>
  </si>
  <si>
    <t xml:space="preserve">226 - Unidad Administrativa Especial de Catastro Distrital - UAECD  </t>
  </si>
  <si>
    <t xml:space="preserve">227 - Unidad Administrativa Especial de Rehabilitación y Mantenimiento Vial – UAERMV. </t>
  </si>
  <si>
    <t xml:space="preserve">228 - Unidad Administrativa Especial de Servicios Públicos - UAESP </t>
  </si>
  <si>
    <t xml:space="preserve">229 - Instituto Distrital de Protección y Bienestar Animal – IDPYBA. </t>
  </si>
  <si>
    <t xml:space="preserve">230 - Universidad Distrital Francisco José de Caldas. </t>
  </si>
  <si>
    <t xml:space="preserve">240 - Lotería de Bogotá. </t>
  </si>
  <si>
    <t xml:space="preserve">260 - Canal Capital. </t>
  </si>
  <si>
    <t xml:space="preserve">262 - Empresa de Transporte del Tercer Milenio - Transmilenio S.A. </t>
  </si>
  <si>
    <t xml:space="preserve">263 - Empresa de Renovación y Desarrollo Urbano de Bogotá D.C. – ERU. </t>
  </si>
  <si>
    <t xml:space="preserve">264 - Aguas de Bogotá S.A. E.S.P. </t>
  </si>
  <si>
    <t xml:space="preserve">265 - Empresa de Acueducto y Alcantarillado de Bogotá, EAAB -E.S.P.  </t>
  </si>
  <si>
    <t xml:space="preserve">266 - Metro de Bogotá S.A. </t>
  </si>
  <si>
    <t xml:space="preserve">3 - Fondo de Desarrollo Local de Santa Fe. </t>
  </si>
  <si>
    <t xml:space="preserve">311 - Terminal de Transporte S.A.  </t>
  </si>
  <si>
    <t xml:space="preserve">317 - Corporación para el Desarrollo y la Productividad Bogotá Región - INVEST IN BOGOTÁ. </t>
  </si>
  <si>
    <t xml:space="preserve">4 - Fondo de Desarrollo Local de San Cristóbal. </t>
  </si>
  <si>
    <t xml:space="preserve">423 - Subred Integrada de Servicios de Salud Centro Oriente E.S.E.   </t>
  </si>
  <si>
    <t xml:space="preserve">424 - Subred Integrada de Servicios de Salud Sur Occidente E.S.E. </t>
  </si>
  <si>
    <t xml:space="preserve">425 - Subred Integrada de Servicios de Salud Sur E.S.E. </t>
  </si>
  <si>
    <t xml:space="preserve">426 - Subred Integrada de Servicios de Salud Norte E.S.E.  </t>
  </si>
  <si>
    <t xml:space="preserve">428 - Capital Salud. Entidad promotora de salud del régimen subsidiado S.A.S. - CAPITAL SALUD EPS-S S.A.S. </t>
  </si>
  <si>
    <t xml:space="preserve">429 - Instituto Distrital de Ciencia, Biotecnología e Innovación en Salud – IDCBIS. </t>
  </si>
  <si>
    <t xml:space="preserve">430 - Entidad de Gestión Administrativa y Técnica – EGAT. </t>
  </si>
  <si>
    <t>431 - ENEL Colombia S.A. E.S.P.</t>
  </si>
  <si>
    <t xml:space="preserve">5 - Fondo de Desarrollo Local de Usme. </t>
  </si>
  <si>
    <t xml:space="preserve">500 - Fondo Distrital para la Gestión de Riesgos y Cambio Climático de Bogotá D.C. –FONDIGER. </t>
  </si>
  <si>
    <t>501 -Agencia Distrital para la Educación Superior, la Ciencia y la Tecnología - ATENEA</t>
  </si>
  <si>
    <t xml:space="preserve">515 - Corporación Maloka de Ciencia, Tecnología e Innovación – MALOKA. </t>
  </si>
  <si>
    <t xml:space="preserve">6 - Fondo de Desarrollo Local de Tunjuelito. </t>
  </si>
  <si>
    <t xml:space="preserve">7 - Fondo de Desarrollo Local de Bosa. </t>
  </si>
  <si>
    <t xml:space="preserve">702 - Compañía de Distribución y Comercialización de Energía S.A. E.S.P. CODENSA S.A. E.S.P. </t>
  </si>
  <si>
    <t xml:space="preserve">704 - Compañía Colombiana de Servicios de Valor Agregado y Telemático S.A. ESP - COLVATEL S.A E.S.P. </t>
  </si>
  <si>
    <t xml:space="preserve">705 - Empresa Generadora de Energía S.A. E.S.P. - EMGESA S.A. E.S.P. </t>
  </si>
  <si>
    <t xml:space="preserve">708 - Empresa de Telecomunicaciones de Bogotá S.A. E.S.P. </t>
  </si>
  <si>
    <t xml:space="preserve">709 - Américas Business Process Services S.A. </t>
  </si>
  <si>
    <t xml:space="preserve">710 - Grupo Energía Bogotá S.A. E.S.P. – GEB S.A. E.S.P. </t>
  </si>
  <si>
    <t xml:space="preserve">712 - VANTI S.A. ESP </t>
  </si>
  <si>
    <t xml:space="preserve">718 - Transportadora de Gas Internacional S.A. E.S.P.– TGI S.A. E.S.P. </t>
  </si>
  <si>
    <t xml:space="preserve">721 - Caudales de Colombia S.A. E.S.P. </t>
  </si>
  <si>
    <t xml:space="preserve">729 - SKYNET de Colombia S.A. E.S.P. </t>
  </si>
  <si>
    <t xml:space="preserve">8 - Fondo de Desarrollo Local de Kennedy. </t>
  </si>
  <si>
    <t xml:space="preserve">9 - Fondo de Desarrollo Local de Fontibón. </t>
  </si>
  <si>
    <t>ETAPA 1</t>
  </si>
  <si>
    <t>ETAPA 2</t>
  </si>
  <si>
    <t>ETAPA 3</t>
  </si>
  <si>
    <t>ETAPAS 2 Y 3</t>
  </si>
  <si>
    <t>% DE PAGOS
(Total Pagado /  Valor Contratos)</t>
  </si>
  <si>
    <t>Nivel de Riesgo de control fiscal en el Proceso de Gasto Público</t>
  </si>
  <si>
    <t>Adquisición de activos financieros</t>
  </si>
  <si>
    <t>Disminución de pasivos</t>
  </si>
  <si>
    <t>Gastos por tributos, tasas, contribuciones, multas, sanciones e intereses de mora</t>
  </si>
  <si>
    <t>Servicio de la deuda pública</t>
  </si>
  <si>
    <t xml:space="preserve">TOTAL </t>
  </si>
  <si>
    <t>Gastos de comercialización y producción</t>
  </si>
  <si>
    <t>CONTRATOS SUSCRITOS EN VIGENCIAS ANTERIORES CON GESTIÓN FISCAL EN LA VIGENCIA A AUDITAR  (AÑO n)</t>
  </si>
  <si>
    <t>ADICIONES A CONTRATOS SUSCRITOS EN VIGENCIAS ANTERIORES EFECTUADAS DENTRO DE LA VIGENCIA AUDITAR (AÑO n)</t>
  </si>
  <si>
    <t>ADICIONES A CONTRATOS SUSCRITOS EN VIGENCIAS ANTERIORES EFECTUADAS DENTRO DE LA VIGENCIA AUDITAR</t>
  </si>
  <si>
    <t>I. Seleccione la(s) unidad(es) de análisis de acuerdo al entendimiento del sujeto de control y el juicio profesional :</t>
  </si>
  <si>
    <t xml:space="preserve">UNIDAD DE ANÁLISIS </t>
  </si>
  <si>
    <t>ELEMENTOS DEL UNIVERSO</t>
  </si>
  <si>
    <t>VALOR TOTAL</t>
  </si>
  <si>
    <t>CONTRATOS SUSCRITOS EN LA VIGENCIA A AUDITAR</t>
  </si>
  <si>
    <t xml:space="preserve">OTRAS FORMAS DE EJECUCIÓN DEL GASTO DE LA VIGENCIA AUDITAR DIFERENTES A CONTRATACIÓN </t>
  </si>
  <si>
    <t xml:space="preserve">CONTRATOS SUSCRITOS EN VIGENCIAS ANTERIORES CON GESTIÓN FISCAL EN LA VIGENCIA A AUDITAR </t>
  </si>
  <si>
    <r>
      <t>MAXIMA CALIFICACION POSIBLE</t>
    </r>
    <r>
      <rPr>
        <sz val="10"/>
        <color indexed="8"/>
        <rFont val="Arial"/>
        <family val="2"/>
      </rPr>
      <t> </t>
    </r>
  </si>
  <si>
    <t>EEAAB234453</t>
  </si>
  <si>
    <t>Factura Acueducto</t>
  </si>
  <si>
    <t>NO APLICA</t>
  </si>
  <si>
    <r>
      <rPr>
        <b/>
        <sz val="11"/>
        <color theme="1" tint="0.249977111117893"/>
        <rFont val="Arial"/>
        <family val="2"/>
      </rPr>
      <t>OTRAS FORMAS DE EJECUCIÓN DEL GASTO</t>
    </r>
    <r>
      <rPr>
        <b/>
        <sz val="11"/>
        <color theme="1"/>
        <rFont val="Arial"/>
        <family val="2"/>
      </rPr>
      <t xml:space="preserve"> </t>
    </r>
    <r>
      <rPr>
        <b/>
        <u/>
        <sz val="11"/>
        <color theme="1"/>
        <rFont val="Arial"/>
        <family val="2"/>
      </rPr>
      <t xml:space="preserve">DIFERENTES A CONTRATACIÓN
</t>
    </r>
    <r>
      <rPr>
        <b/>
        <sz val="11"/>
        <color theme="0" tint="-4.9989318521683403E-2"/>
        <rFont val="Arial"/>
        <family val="2"/>
      </rPr>
      <t>(INCLUIR LOS ÍTEMS PERTINENTES AL SUJETO DE CONTROL)</t>
    </r>
  </si>
  <si>
    <t>VIGENCIA AUDITADA</t>
  </si>
  <si>
    <t>CODIGO AUDITORÍA</t>
  </si>
  <si>
    <t>Equipo Auditor:</t>
  </si>
  <si>
    <t>NOMBRE</t>
  </si>
  <si>
    <t>FIRMA</t>
  </si>
  <si>
    <t>CARGO</t>
  </si>
  <si>
    <t>SUJETOS DE CONTROL FISCAL</t>
  </si>
  <si>
    <t>REGIMEN</t>
  </si>
  <si>
    <t>INGRESOS</t>
  </si>
  <si>
    <t>Rango de Calificación</t>
  </si>
  <si>
    <t>CLASIFICACION PRESUPUESTAL</t>
  </si>
  <si>
    <t>Sujeto de Control</t>
  </si>
  <si>
    <t>TIPO DE MATRIZ
(Identificación de la matriz a aplicar)</t>
  </si>
  <si>
    <t>TIPO_ENTIDAD</t>
  </si>
  <si>
    <t>Columna1</t>
  </si>
  <si>
    <t>Columna2</t>
  </si>
  <si>
    <t>MACROPROCESO</t>
  </si>
  <si>
    <t>PUBLICA</t>
  </si>
  <si>
    <t>MIXTA&gt;50</t>
  </si>
  <si>
    <t>MIXTA&lt;50</t>
  </si>
  <si>
    <t>CORPORACION</t>
  </si>
  <si>
    <t xml:space="preserve">100000 - DIRECCIÓN SECTOR SALUD </t>
  </si>
  <si>
    <t>1 - Fondo de Desarrollo Local de Usaquén</t>
  </si>
  <si>
    <t>FDL</t>
  </si>
  <si>
    <t>12101 - GERENCIA LOCAL USAQUÉN</t>
  </si>
  <si>
    <t>SI</t>
  </si>
  <si>
    <t>&gt;=</t>
  </si>
  <si>
    <t>&lt;</t>
  </si>
  <si>
    <t>ya</t>
  </si>
  <si>
    <t>PUBLICA SIN GESTIÓN FINANCIERA</t>
  </si>
  <si>
    <t>PUBLICA con ing</t>
  </si>
  <si>
    <t>CON INGRESOS</t>
  </si>
  <si>
    <t>x</t>
  </si>
  <si>
    <t>GESTIÓN FINANCIERA</t>
  </si>
  <si>
    <t xml:space="preserve">110000 - DIRECCIÓN SECTOR GOBIERNO </t>
  </si>
  <si>
    <t>10 - Fondo de Desarrollo Local de Engativá</t>
  </si>
  <si>
    <t xml:space="preserve">12110 - GERENCIA LOCAL ENGATIVÁ </t>
  </si>
  <si>
    <t>EFICAZ</t>
  </si>
  <si>
    <t>GASTOS</t>
  </si>
  <si>
    <t>GESTIÓN PRESUPUESTAL</t>
  </si>
  <si>
    <t xml:space="preserve">12000 - DIRECCIÓN DE PARTICIPACIÓN CIUDADANA Y DESARROLLO LOCAL </t>
  </si>
  <si>
    <t>100 - Concejo de Bogotá D.C.</t>
  </si>
  <si>
    <t>No tiene</t>
  </si>
  <si>
    <t>NO</t>
  </si>
  <si>
    <t>GASTOS DE OPERACIÓN COMERCIAL</t>
  </si>
  <si>
    <t>PUBLICA SIN GESTIÓN FINANCIERA Y SIN CONTRATACION</t>
  </si>
  <si>
    <t>CONCEJO</t>
  </si>
  <si>
    <t>SIN INGRESOS</t>
  </si>
  <si>
    <t>Y RESULTADOS</t>
  </si>
  <si>
    <t xml:space="preserve">120000 - DIRECCIÓN SECTOR EQUIDAD Y GÉNERO </t>
  </si>
  <si>
    <t>102 - Personería de Bogotá</t>
  </si>
  <si>
    <t>100% publica</t>
  </si>
  <si>
    <t>INEFICAZ</t>
  </si>
  <si>
    <t>RESERVAS CONSTITUIDAS / OBLIGACIONES / CUENTAS POR PAGAR</t>
  </si>
  <si>
    <t>PUBLICA sin ing</t>
  </si>
  <si>
    <t>104 - Secretaría General de la Alcaldía Mayor de Bogotá, D.C. – SGAMB</t>
  </si>
  <si>
    <t>ABSTENCIÓN</t>
  </si>
  <si>
    <t>El Auditor no conto con información o tiene incertidumbre relevante de la información reflejada en los informes presupuestales</t>
  </si>
  <si>
    <t>PASIVOS EXIGIBLES</t>
  </si>
  <si>
    <t>PROCESO</t>
  </si>
  <si>
    <t>MIXTA&gt;50 sin Ing</t>
  </si>
  <si>
    <t>OPINIONES</t>
  </si>
  <si>
    <t>CONCEPTOS INVERSIÓN Y GASTO</t>
  </si>
  <si>
    <t xml:space="preserve">12102 - GERENCIA LOCAL CHAPINERO </t>
  </si>
  <si>
    <t>105 - Veeduría Distrital</t>
  </si>
  <si>
    <t>VIGENCIAS FUTURAS</t>
  </si>
  <si>
    <t>ESTADOS FINANCIEROS</t>
  </si>
  <si>
    <t>Limpia o Sin Salvedades</t>
  </si>
  <si>
    <t>12103 - GERENCIA LOCAL SANTAFÉ</t>
  </si>
  <si>
    <t>11 - Fondo de Desarrollo Local de Suba</t>
  </si>
  <si>
    <t xml:space="preserve">12111 - GERENCIA LOCAL SUBA </t>
  </si>
  <si>
    <t>DESEMPEÑO FINANCIERO</t>
  </si>
  <si>
    <t>Con Salvedades</t>
  </si>
  <si>
    <t xml:space="preserve">12104 - GERENCIA LOCAL SAN CRISTÓBAL </t>
  </si>
  <si>
    <t>110 - Secretaría Distrital de Gobierno – SDG</t>
  </si>
  <si>
    <t>EJECUCIÓN DE INGRESOS</t>
  </si>
  <si>
    <t>Negativa</t>
  </si>
  <si>
    <t xml:space="preserve">12105 - GERENCIA LOCAL USME </t>
  </si>
  <si>
    <t>111 - Secretaría Distrital de Hacienda – SDH</t>
  </si>
  <si>
    <t xml:space="preserve">150000 - DIRECCIÓN SECTOR HACIENDA </t>
  </si>
  <si>
    <t>PUBLICA CON GESTIÓN FINANCIERA</t>
  </si>
  <si>
    <t>EJECUCIÓN DE GASTOS o COSTOS Y GASTOS</t>
  </si>
  <si>
    <t>Abstención</t>
  </si>
  <si>
    <t xml:space="preserve">12106 - GERENCIA LOCAL TUNJUELLTO </t>
  </si>
  <si>
    <t>112 - Secretaría de Educación del Distrito – SED - Fondos de Servicios Educativos de los Colegios e Instituciones adscritas a la Secretaría de Educación del Distrito</t>
  </si>
  <si>
    <t xml:space="preserve">140000 - DIRECCIÓN SECTOR EDUCACIÓN </t>
  </si>
  <si>
    <t xml:space="preserve">12107 - GERENCIA LOCAL BOSA </t>
  </si>
  <si>
    <t>113 - Secretaría Distrital de Movilidad – SDM</t>
  </si>
  <si>
    <t xml:space="preserve">80000 - DIRECCIÓN SECTOR MOVILIDAD </t>
  </si>
  <si>
    <t xml:space="preserve">12108 - GERENCIA LOCAL KENNEDY </t>
  </si>
  <si>
    <t>114 - Secretaría Distrital de Salud – SDS</t>
  </si>
  <si>
    <t xml:space="preserve">12109 - GERENCIA LOCAL FONTIBÓN </t>
  </si>
  <si>
    <t>117 - Secretaría Distrital de Desarrollo Económico – SDDE</t>
  </si>
  <si>
    <t xml:space="preserve">190000 - DIRECCIÓN SECTOR DESARROLLO ECONÓMICO, INDUSTRIA Y TURISMO </t>
  </si>
  <si>
    <t>118 - Secretaría Distrital del Hábitat - SDHT</t>
  </si>
  <si>
    <t xml:space="preserve">130000 - DIRECCIÓN SECTOR HÁBITAT Y AMBIENTE </t>
  </si>
  <si>
    <t>119 - Secretaría Distrital de Cultura, Recreación y Deporte – SDCRD</t>
  </si>
  <si>
    <t xml:space="preserve">220000 - DIRECCIÓN SECTOR CULTURA, RECREACIÓN Y DEPORTE </t>
  </si>
  <si>
    <t xml:space="preserve">12112 - GERENCIA LOCAL BARRIOS UNIDOS </t>
  </si>
  <si>
    <t>12 - Fondo de Desarrollo Local de Barrios Unidos</t>
  </si>
  <si>
    <t xml:space="preserve">12113 - GERENCIA LOCAL TEUSAQUILLO </t>
  </si>
  <si>
    <t>120 - Secretaría Distrital de Planeación – SDP</t>
  </si>
  <si>
    <t xml:space="preserve">12114 - GERENCIA LOCAL MÁRTIRES </t>
  </si>
  <si>
    <t>121 - Secretaría Distrital de la Mujer – SDM</t>
  </si>
  <si>
    <t>12115 - GERENCIA LOCAL ANTONIO NARIÑO</t>
  </si>
  <si>
    <t>122 - Secretaría Distrital de Integración Social – SDIS</t>
  </si>
  <si>
    <t xml:space="preserve">200000 - DIRECCIÓN SECTOR INTEGRACIÓN SOCIAL </t>
  </si>
  <si>
    <t xml:space="preserve">12116 - GERENCIA LOCAL PUENTE ARANDA </t>
  </si>
  <si>
    <t>125 - Departamento Administrativo del Servicio Civil Distrital – DASCD</t>
  </si>
  <si>
    <t xml:space="preserve">12117 - GERENCIA LOCAL LA CANDELARIA </t>
  </si>
  <si>
    <t>126 - Secretaría Distrital de Ambiente – SDA</t>
  </si>
  <si>
    <t>12118 - GERENCIA LOCAL RAFAEL URIBE URIBE</t>
  </si>
  <si>
    <t>127 - Departamento Administrativo de la Defensoría del Espacio Público – DADEP</t>
  </si>
  <si>
    <t xml:space="preserve">12119 - GERENCIA LOCAL CIUDAD BOLIVAR </t>
  </si>
  <si>
    <t>13 - Fondo de Desarrollo Local de Teusaquillo</t>
  </si>
  <si>
    <t xml:space="preserve">12120 - GERENCIA LOCAL SUMAPAZ </t>
  </si>
  <si>
    <t>131 - Unidad Administrativa Especial del Cuerpo Oficial de Bomberos de Bogotá – UAECOB</t>
  </si>
  <si>
    <t>Unidad Administrativa Especial</t>
  </si>
  <si>
    <t>230000 - DIRECCIÓN SECTOR SEGURIDAD, CONVIVENCIA Y JUSTICIA</t>
  </si>
  <si>
    <t>136 - Secretaría Jurídica Distrital – SJD</t>
  </si>
  <si>
    <t xml:space="preserve">90000 - DIRECCIÓN SECTOR GESTIÓN JURIDICA </t>
  </si>
  <si>
    <t>137 - Secretaría Distrital de Seguridad, Convivencia y Justicia – SDSCJ</t>
  </si>
  <si>
    <t>14 - Fondo de Desarrollo Local de Los Mártires</t>
  </si>
  <si>
    <t>PLANES, PROGRAMAS Y PROYECTOS</t>
  </si>
  <si>
    <t>15 - Fondo de Desarrollo Local de Antonio Nariño</t>
  </si>
  <si>
    <t>PLAN ESTRATEGICO INSTITUCIONAL</t>
  </si>
  <si>
    <t>16 - Fondo de Desarrollo Local de Puente Aranda</t>
  </si>
  <si>
    <t>PLAN ESTRATEGICO CORPORATIVO o el que haga sus veces</t>
  </si>
  <si>
    <t>17 - Fondo de Desarrollo Local de La Candelaria</t>
  </si>
  <si>
    <t>18 - Fondo de Desarrollo Local de Rafael Uribe Uribe</t>
  </si>
  <si>
    <t>19 - Fondo de Desarrollo Local de Ciudad Bolívar</t>
  </si>
  <si>
    <t>2 - Fondo de Desarrollo Local de Chapinero</t>
  </si>
  <si>
    <t>20 - Fondo de Desarrollo Local de Sumapaz</t>
  </si>
  <si>
    <t>200 - Instituto para la Economía Social – IPES</t>
  </si>
  <si>
    <t>Establecimiento publico</t>
  </si>
  <si>
    <t>201 - Fondo Financiero Distrital de Salud – FFDS</t>
  </si>
  <si>
    <t>Fondo</t>
  </si>
  <si>
    <t>202 - Curaduría Urbana N° 1 de Bogotá</t>
  </si>
  <si>
    <t>Mixta</t>
  </si>
  <si>
    <t>203 - Instituto Distrital de Gestión de Riesgos y Cambio Climático – IDIGER</t>
  </si>
  <si>
    <t>204 - Instituto de Desarrollo Urbano – IDU</t>
  </si>
  <si>
    <t xml:space="preserve">206 - Fondo de Prestaciones Económicas, Cesantías y Pensiones – FONCEP </t>
  </si>
  <si>
    <t>205 - Curaduría Urbana N° 2 de Bogotá</t>
  </si>
  <si>
    <t>Menor 50%</t>
  </si>
  <si>
    <t>208 - Caja de Vivienda Popular – CVP</t>
  </si>
  <si>
    <t>211 - Instituto Distrital de Recreación y Deporte – IDRD</t>
  </si>
  <si>
    <t>207 - Curaduría Urbana N° 4 de Bogotá</t>
  </si>
  <si>
    <t>213 - Instituto Distrital de Patrimonio Cultural – IDPC</t>
  </si>
  <si>
    <t>214 - Instituto Distrital para la Protección de la Niñez y la Juventud – IDIPRON</t>
  </si>
  <si>
    <t>209 - Curaduría Urbana N° 3 de Bogotá</t>
  </si>
  <si>
    <t>215 - Fundación Gilberto Álzate Avendaño – FUGA</t>
  </si>
  <si>
    <t>210 - Curaduría Urbana N° 5 de Bogotá</t>
  </si>
  <si>
    <t>216 - Orquesta Filarmónica de Bogotá – OFB</t>
  </si>
  <si>
    <t>218 - Jardín Botánico José Celestino Mutis – JBJCM</t>
  </si>
  <si>
    <t xml:space="preserve">219 - Instituto para la Investigación Educativa y el Desarrollo Pedagógico – IDEP </t>
  </si>
  <si>
    <t>220 - Instituto Distrital de la Participación y Acción Comunal – IDPAC</t>
  </si>
  <si>
    <t>221 - Instituto Distrital de Turismo – IDT</t>
  </si>
  <si>
    <t>222 - Instituto Distrital de las Artes – IDARTES</t>
  </si>
  <si>
    <t xml:space="preserve">  </t>
  </si>
  <si>
    <t>229 - Instituto Distrital de Protección y Bienestar Animal – IDPYBA</t>
  </si>
  <si>
    <t>230 - Universidad Distrital Francisco José de Caldas</t>
  </si>
  <si>
    <t>240 - Lotería de Bogotá</t>
  </si>
  <si>
    <t>PUBLICA CON GESTIÓN FINANCIERA Y CONTRATACIÓN MIXTA</t>
  </si>
  <si>
    <t>260 - Canal Capital</t>
  </si>
  <si>
    <t>Ente Autonomo</t>
  </si>
  <si>
    <t>264 - Aguas de Bogotá S.A. E.S.P.</t>
  </si>
  <si>
    <t>Empresa Industrial y Comercial</t>
  </si>
  <si>
    <t>268 - Operadora Distrital de Transporte S.A.S.</t>
  </si>
  <si>
    <t>MIXTA</t>
  </si>
  <si>
    <t>MIXTA&gt;50 sin ing</t>
  </si>
  <si>
    <t>3 - Fondo de Desarrollo Local de Santa Fe</t>
  </si>
  <si>
    <t>Publica con contratacion mixta</t>
  </si>
  <si>
    <t>4 - Fondo de Desarrollo Local de San Cristóbal</t>
  </si>
  <si>
    <t>Entidad Descentralizada</t>
  </si>
  <si>
    <t>PUBLICA CON PLAN ESTRATEGICO Y CONTRATACIÓN MIXTA</t>
  </si>
  <si>
    <t>Subred</t>
  </si>
  <si>
    <t>429 - Instituto Distrital de Ciencia, Biotecnología e Innovación en Salud – IDCBIS</t>
  </si>
  <si>
    <t>PUBLICA CON GESTIÓN FINANCIERA CON PLAN ESTRATEGICO</t>
  </si>
  <si>
    <t>430 - Entidad de Gestión Administrativa y Técnica – EGAT</t>
  </si>
  <si>
    <t>PUBLICA SIN GESTIÓN FINANCIERA Y CONTRATACIÓN MIXTA</t>
  </si>
  <si>
    <t>5 - Fondo de Desarrollo Local de Usme</t>
  </si>
  <si>
    <t>500 - Fondo Distrital para la Gestión de Riesgos y Cambio Climático de Bogotá D.C. –FONDIGER</t>
  </si>
  <si>
    <t>515 - Corporación Maloka de Ciencia, Tecnología e Innovación – MALOKA</t>
  </si>
  <si>
    <t>6 - Fondo de Desarrollo Local de Tunjuelito</t>
  </si>
  <si>
    <t>7 - Fondo de Desarrollo Local de Bosa</t>
  </si>
  <si>
    <t>8 - Fondo de Desarrollo Local de Kennedy</t>
  </si>
  <si>
    <t>9 - Fondo de Desarrollo Local de Fontibón</t>
  </si>
  <si>
    <t>MUESTRA</t>
  </si>
  <si>
    <t>ESTADOS FINANCIEROS - ESTADO DE SITUACIÓN FINANCIERA</t>
  </si>
  <si>
    <t>En Pesos $</t>
  </si>
  <si>
    <t>CRITERIOS DE SELECCIÓN DE LA MUESTRA</t>
  </si>
  <si>
    <t>CODIGO</t>
  </si>
  <si>
    <t>DESCRIPCIÓN CUENTA:
Clase/ Grupo/ Cuenta/ Subcuenta</t>
  </si>
  <si>
    <t>Saldo a dic 31 del año actual</t>
  </si>
  <si>
    <t>Saldo a dic 31 del año anterior</t>
  </si>
  <si>
    <t>Variación absoluta</t>
  </si>
  <si>
    <t>Variación %</t>
  </si>
  <si>
    <t>Explicación de variaciones (Ver Notas a los Estados Financieros - Revelaciones)</t>
  </si>
  <si>
    <t>Participación % En función al activo</t>
  </si>
  <si>
    <t>Explicación de participaciones - Para las de Mayor %</t>
  </si>
  <si>
    <t>CUENTAS QUE PRESENTARON MAYOR VARIACIÓN (TRAER %)</t>
  </si>
  <si>
    <t>CUENTAS DE MAYOR PARTICIPACIÓN (TRAER %)</t>
  </si>
  <si>
    <t>CUENTAS QUE PRESENTARON HALLAZGOS POR INCORRECCIONES O IMPOSIBILIDADES EN EL INFORME ANTERIOR (MARCAR CON X)</t>
  </si>
  <si>
    <t>CUENTAS QUE POR PLAN DE MEJORAMIENTO SE DEBE EVALUAR EFECTIVIDAD</t>
  </si>
  <si>
    <t>CUENTAS SUCEPTIBLES DE SER INCLUIDAS EN LA MUESTRA (MARCAR CON X)</t>
  </si>
  <si>
    <t>CUENTAS QUE SEGÚN EL FORMATO: PVCGF-04-13 INSTRUMENTO DE RIESGOS Y CONTROLES PRESENTARON EL MAYOR RIESGO RESIDUAL (REGISTRAR: CRITICO, ALTO, MEDIO O BAJO)</t>
  </si>
  <si>
    <t>CUENTAS SOLICITADAS A AUDITAR POR ESTUDIOS DE ECONOMIA Y POLITICA PUBLICA</t>
  </si>
  <si>
    <t xml:space="preserve">MUESTRA DE AUDITORIA </t>
  </si>
  <si>
    <t>OBSERVACIONES DEL AUDITOR - JUSTIFICACIÓN DE LA SELECCIÓN</t>
  </si>
  <si>
    <t>ggg</t>
  </si>
  <si>
    <t xml:space="preserve">Conclusiones generales </t>
  </si>
  <si>
    <t>Auditores:</t>
  </si>
  <si>
    <t>Gerente - Líder:</t>
  </si>
  <si>
    <r>
      <rPr>
        <b/>
        <sz val="11"/>
        <color theme="1"/>
        <rFont val="Arial"/>
        <family val="2"/>
      </rPr>
      <t xml:space="preserve">Nota 1: </t>
    </r>
    <r>
      <rPr>
        <sz val="11"/>
        <color theme="1"/>
        <rFont val="Arial"/>
        <family val="2"/>
      </rPr>
      <t>Con el diligenciamiento de este papel de Trabajo se pretende establecer el universo de los saldos de las cuentas del Estado de Situación Financiera del Sujeto de Control con corte a diciembre 31 de la vigencia a auditar y de esta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</si>
  <si>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fines de direccionar la Muestra a Seleccionar, se dará aplicación a los criterios establecidos para seleccionar la muestra.</t>
    </r>
  </si>
  <si>
    <r>
      <rPr>
        <b/>
        <sz val="11"/>
        <color theme="1"/>
        <rFont val="Arial"/>
        <family val="2"/>
      </rPr>
      <t>Nota 3:</t>
    </r>
    <r>
      <rPr>
        <sz val="11"/>
        <color theme="1"/>
        <rFont val="Arial"/>
        <family val="2"/>
      </rPr>
      <t xml:space="preserve"> Se deberán considerar dentro de los criterios base para la selección de la muestra, los resultados de la aplicación del PVCGF-15-11 Matriz de Riesgos y Controles.</t>
    </r>
  </si>
  <si>
    <t>Situacionf</t>
  </si>
  <si>
    <t>Cuantiaf</t>
  </si>
  <si>
    <t>Activo</t>
  </si>
  <si>
    <t>Pasivo</t>
  </si>
  <si>
    <t>Patrimonio</t>
  </si>
  <si>
    <t>Pasivo + Patrimonio</t>
  </si>
  <si>
    <t>ESTADOS FINANCIEROS - ESTADO DE RESULTADOS</t>
  </si>
  <si>
    <t>Explicación de principales variaciones (Ver Notas a los Estados Financieros - Revelaciones)</t>
  </si>
  <si>
    <t>CUENTAS CORRELATIVAS A LAS CUENTAS DE BALANCE SELECCIONADAS EN LA MUESTRA</t>
  </si>
  <si>
    <t>Estado de resultados</t>
  </si>
  <si>
    <t>$</t>
  </si>
  <si>
    <t>Ingresos</t>
  </si>
  <si>
    <t>Gastos</t>
  </si>
  <si>
    <t>Código de Auditoría:</t>
  </si>
  <si>
    <t>ASPECTOS A TENER EN CUENTA PARA DEFINIR LA MATERIALIDAD CUANTITATIVA PARA ESTADOS FINANCIEROS EN SU CONJUNTO.</t>
  </si>
  <si>
    <r>
      <rPr>
        <b/>
        <sz val="12"/>
        <color theme="1"/>
        <rFont val="Arial"/>
        <family val="2"/>
      </rPr>
      <t xml:space="preserve">MATERIALIDAD CUANTITATIVA PARA LAS INCORRECCIONES E IMPOSIBILIDADES </t>
    </r>
    <r>
      <rPr>
        <sz val="12"/>
        <color theme="1"/>
        <rFont val="Arial"/>
        <family val="2"/>
      </rPr>
      <t xml:space="preserve">
Este instrumento está compuesto por las siguientes secciones:
1. Criterios para clasificación de riesgo del proceso de estados financieros.
2. Aplicación de criterios para la clasificación de riesgo del sujeto de vigilancia y control fiscal.
3. Base y Porcentaje referente Para Establecer La Materialidad.
4. materialidad determinada para el sujeto de vigilancia y control fiscal.
5. estructura de niveles, rangos para determinar la materialidad de los sujetos de vigilancia y control fiscal.
6. materialidad determinada para el sujeto de control y parametrización del momento en que surgen las opiniones modificadas.</t>
    </r>
  </si>
  <si>
    <r>
      <t xml:space="preserve">MATERIALIDAD </t>
    </r>
    <r>
      <rPr>
        <b/>
        <sz val="12"/>
        <color indexed="8"/>
        <rFont val="Arial"/>
        <family val="2"/>
      </rPr>
      <t>CUANTITATIVA - PARA INCORRECCIONES E IMPOSIBILIDADES O SU SUMATORIA</t>
    </r>
  </si>
  <si>
    <t>1. CRITERIOS PARA CLASIFICACIÓN DE RIESGO DEL PROCESO DE ESTADOS FINANCIEROS (Sección Informativa no requiere ningún diligenciamiento):</t>
  </si>
  <si>
    <t>Opinión auditoría Estados Financieros</t>
  </si>
  <si>
    <t>Calificación Control Interno Contable - Proceso Estados Financieros</t>
  </si>
  <si>
    <t>Fenecimiento de la cuenta</t>
  </si>
  <si>
    <t>Riesgo Residual o Combinado - Proceso Estados Financieros</t>
  </si>
  <si>
    <t>Sin salvedades</t>
  </si>
  <si>
    <t>Fenecida</t>
  </si>
  <si>
    <t>Con salvedades</t>
  </si>
  <si>
    <t>No fenecida</t>
  </si>
  <si>
    <t>Critico</t>
  </si>
  <si>
    <t>Dado que la materialidad se encuentra directamente relacionada con el nivel de riesgo del sujeto de control, en esta sección se presentan los criterios utilizados para establecer el nivel de riesgo de auditoría del proceso de Estados Financieros del Sujeto de Vigilancia y Control Fiscal, de los cuales 3 corresponden a la auditoría de Regularidad o Financiera y de Gestión anterior (Opinión sobre los Estados Financieros, la Calificación de Control Interno Contable y el Fenecimiento de la Cuenta) y uno a la presente auditoría que corresponde al Riesgo Residual o Combinado – Proceso Estados Financieros.</t>
  </si>
  <si>
    <t>2. APLICACIÓN DE CRITERIOS PARA LA CLASIFICACIÓN DE RIESGO DEL SUJETO DE VIGILANCIA Y CONTROL FISCAL</t>
  </si>
  <si>
    <t>Opinión auditoría anterior</t>
  </si>
  <si>
    <t>Fenecimiento de la cuenta
auditoría anterior</t>
  </si>
  <si>
    <t>De conformidad con la escala de valoración de los riesgos establecidos en el numeral 1 de este instructivo, el auditor deberá proceder a incorporar las calificaciones correspondientes utilizando las listas desplegables diseñadas para el efecto.
Los puntos se van acumulando en la medida en que el auditor selecciona cada una de las opciones y su sumatoria determina un nivel de riesgo</t>
  </si>
  <si>
    <t>3. BASE Y PORCENTAJE REFERENTE PARA ESTABLECER LA MATERIALIDAD (Sección Informativa no requiere ningún diligenciamiento):</t>
  </si>
  <si>
    <t>Bases</t>
  </si>
  <si>
    <t>Rango de Porcentajes</t>
  </si>
  <si>
    <t>Criterios para establecer el porcentaje de Materialidad</t>
  </si>
  <si>
    <t>Activos</t>
  </si>
  <si>
    <t>1 -3%</t>
  </si>
  <si>
    <t>De conformidad con el rango general establecido por   Guía para el uso de las Normas Internacionales de Pequeñas y Medianas Empresas - Guía Practica (Tercera edición) expedida por la Federación Internacional de Contadores - IFAC que va del 1% al 3%, se estableció la materialidad % por nivel.</t>
  </si>
  <si>
    <t>Pasivos (+) Patrimonio</t>
  </si>
  <si>
    <t>Para la Contraloría de Bogotá se determinó que la base a utilizar para determinar la materialidad serán los activos y el rango de porcentajes a aplicar se adoptó de la Guía para el uso de las Normas Internacionales de Pequeñas y Medianas Empresas - Guía Práctica expedida por la IFAC.</t>
  </si>
  <si>
    <t>4. ESTRUCTURA DE NIVELES, RANGOS PARA DETERMINAR LA MATERIALIDAD DE LOS SUJETOS DE VIGILANCIA Y CONTROL FISCAL (Sección Informativa no requiere ningún diligenciamiento):</t>
  </si>
  <si>
    <t>Sumatoria puntaje de variables y agrupaciones de los sujetos por NIVEL</t>
  </si>
  <si>
    <t>Calificación de criterios de gestión</t>
  </si>
  <si>
    <t>Rango establecido para determinar Materialidad</t>
  </si>
  <si>
    <t>% Materialidad establecido según nivel de riesgo del sujeto de control</t>
  </si>
  <si>
    <t>Aspectos considerados para determinar el % de Materialidad</t>
  </si>
  <si>
    <t>MEJOR CALIFICACIÓN</t>
  </si>
  <si>
    <t>Entre &gt;2,3% y &lt;=3%</t>
  </si>
  <si>
    <t>A menor puntaje de la calificación de las variables de auditoría (Mejores resultados), mayor tolerancia o porcentaje de materialidad cuantitativa.</t>
  </si>
  <si>
    <t>NIVEL 2
Entre 8 y 11 Puntos</t>
  </si>
  <si>
    <t>CALIFICACIÓN INTERMEDIA</t>
  </si>
  <si>
    <t>Entre &gt;1,7% y &lt;=2,3%</t>
  </si>
  <si>
    <t>En virtud a la rigurosidad de los rangos determinados, se consideró el límite superior por ser el más objetivo para el sujeto de vigilancia y control fiscal.</t>
  </si>
  <si>
    <t>NIVEL 3
Entre 12 y 16 Puntos</t>
  </si>
  <si>
    <t>PEOR CALIFICACION</t>
  </si>
  <si>
    <t>Entre &gt;=1,0% y &lt;=1,7%</t>
  </si>
  <si>
    <t>A partir del numeral 3 de este instructivo, se crearon tres niveles de riesgo según la sumatoria mínima y máxima de los criterios aplicados en el numeral 2 de este instructivo, para los cuales se fijaron rangos porcentuales proporcionales y a partir de estos se tomó el límite superior de cada uno de ellos, porcentaje que se aplicara al valor total de los activos.
Entre más alta es la sumatoria de puntos, menor será el rango porcentual y por lo tanto la materialidad. Si, por ejemplo, el sujeto auditado dispone de un control interno efectivo, y baja probabilidad de que los riesgos puedan materializarse, el nivel será uno (1) y la materialidad podrá ser mayor; por el contrario, si el control interno no es efectivo y el auditor interpreta que los riesgos puedan materializarse, se aplica un porcentaje menor.</t>
  </si>
  <si>
    <t>5. MATERIALIDAD DETERMINADA PARA EL SUJETO DE VIGILANCIA Y CONTROL FISCAL</t>
  </si>
  <si>
    <t>Suma de puntos</t>
  </si>
  <si>
    <t>Base seleccionada</t>
  </si>
  <si>
    <t>Monto Total</t>
  </si>
  <si>
    <t>% Materialidad establecido según nivel de Riesgo del Sujeto de Control</t>
  </si>
  <si>
    <t>Valor Materialidad en Pesos</t>
  </si>
  <si>
    <t>Esta sección se alimenta automáticamente al diligenciar lo establecido en el numeral 2 de este instructivo. El auditor solamente debe registrar el valor total de los activos y automáticamente le generara el valor de la materialidad en pesos.</t>
  </si>
  <si>
    <t>6. PARAMETRIZACIÓN DE LAS INCORRECCIONES + LAS IMPOSIBILIDADES QUE DARÍAN LUGAR A OPINIONES MODIFICADAS (Sección que se procesa de manera automática, no requiere diligenciamiento):</t>
  </si>
  <si>
    <t xml:space="preserve">SUMA DE LOS %(S) Y DE LOS VALORES DE LAS INCORRECCIONES MAS LAS IMPOSIBILIDADES QUE GENERAN OPINIÓN MODIFICADA SEGÚN EL NIVEL </t>
  </si>
  <si>
    <t>MATERIALIDAD DETERMINADA PARA EL SUJETO DE CONTROL</t>
  </si>
  <si>
    <t>SIN SALVEDADES</t>
  </si>
  <si>
    <t>MATERIALES NO GENERALIZADAS = CON SALVEDADES</t>
  </si>
  <si>
    <t>MATERIALES GENERALIZADAS = NEGATIVA/ ABSTENCIÓN</t>
  </si>
  <si>
    <t>Base Seleccionada</t>
  </si>
  <si>
    <t>Monto</t>
  </si>
  <si>
    <t>MENOR QUE 1 VEZ</t>
  </si>
  <si>
    <t>MAYOR O IGUAL QUE 1 Y MENOR QUE 5 VECES</t>
  </si>
  <si>
    <t>IGUAL O MAYOR  QUE 5 VECES</t>
  </si>
  <si>
    <t>En %</t>
  </si>
  <si>
    <t>Menor que</t>
  </si>
  <si>
    <t>Entre</t>
  </si>
  <si>
    <t>y menor que</t>
  </si>
  <si>
    <t>En Pesos</t>
  </si>
  <si>
    <t xml:space="preserve">CONCLUSION: </t>
  </si>
  <si>
    <t xml:space="preserve">Fecha Inicio: </t>
  </si>
  <si>
    <t>Fecha Terminación:</t>
  </si>
  <si>
    <t>Elaborado por:</t>
  </si>
  <si>
    <t>Nombre:</t>
  </si>
  <si>
    <t>Cargo:</t>
  </si>
  <si>
    <t xml:space="preserve">Firma:  </t>
  </si>
  <si>
    <t xml:space="preserve">Revisado por: </t>
  </si>
  <si>
    <t xml:space="preserve">Cargo: </t>
  </si>
  <si>
    <t xml:space="preserve">Firma: </t>
  </si>
  <si>
    <t xml:space="preserve">Fecha de Revisión: </t>
  </si>
  <si>
    <t>CÁLCULO  MATERIALIDAD DE PLANEACIÓN - MP PRESUPUESTAL</t>
  </si>
  <si>
    <t>Entidad auditada:</t>
  </si>
  <si>
    <t>Periodo auditado:</t>
  </si>
  <si>
    <t xml:space="preserve"> De 1.0 a 1.5</t>
  </si>
  <si>
    <t>Fecha de realización</t>
  </si>
  <si>
    <t>De &gt; 1.5 a &lt; 2.0</t>
  </si>
  <si>
    <t xml:space="preserve">Con deficiencias </t>
  </si>
  <si>
    <t>Referenciación:</t>
  </si>
  <si>
    <t xml:space="preserve"> De 2.0 a 3.0</t>
  </si>
  <si>
    <r>
      <t xml:space="preserve">MATERIALIDAD </t>
    </r>
    <r>
      <rPr>
        <b/>
        <sz val="12"/>
        <color indexed="8"/>
        <rFont val="Calibri"/>
        <family val="2"/>
        <scheme val="minor"/>
      </rPr>
      <t>PARA CONCEPTO GESTION PRESUPUESTAL</t>
    </r>
  </si>
  <si>
    <t>I. Seleccione primero las opciones de ayudas de antecedentes. Ingrese manualmente el valor de la base escogida a 31 de diciembre de la vigencia auditada e ingrese manualmente el porcentaje, tenga en cuenta que debe estar dentro del rango.</t>
  </si>
  <si>
    <t>Concepto auditoría anterior</t>
  </si>
  <si>
    <t>Calificación Control Interno
auditoría anterior</t>
  </si>
  <si>
    <t>Diseño del control de la auditoría actual</t>
  </si>
  <si>
    <t>Riesgo combinado de la
 auditoría actual</t>
  </si>
  <si>
    <t>SUMA DE PUNTOS</t>
  </si>
  <si>
    <t>% DE MATERIALIDAD - LA BASE SOBRE EL VR DE LOS INGRESOS Y GASTOS PRESUPUESTALES EJECUTADOS</t>
  </si>
  <si>
    <t>% DE MATERIALIDAD SELECCIONADO EN EL RANGO</t>
  </si>
  <si>
    <r>
      <t xml:space="preserve">Nivel 1 </t>
    </r>
    <r>
      <rPr>
        <b/>
        <sz val="10"/>
        <color theme="1"/>
        <rFont val="Calibri"/>
        <family val="2"/>
        <scheme val="minor"/>
      </rPr>
      <t xml:space="preserve"> (0 - 5 Puntos)</t>
    </r>
  </si>
  <si>
    <t>Mejor calificación</t>
  </si>
  <si>
    <t>Entre &gt;2,08% y &lt;=3,0%</t>
  </si>
  <si>
    <r>
      <t>Nivel 2</t>
    </r>
    <r>
      <rPr>
        <b/>
        <sz val="10"/>
        <color theme="1"/>
        <rFont val="Calibri"/>
        <family val="2"/>
        <scheme val="minor"/>
      </rPr>
      <t xml:space="preserve"> (6 - 10 Puntos)</t>
    </r>
  </si>
  <si>
    <t>Calificación intermedia</t>
  </si>
  <si>
    <t>Entre &gt;1,17% y &lt;=2,08%</t>
  </si>
  <si>
    <r>
      <t>Nivel 3</t>
    </r>
    <r>
      <rPr>
        <b/>
        <sz val="10"/>
        <color theme="1"/>
        <rFont val="Calibri"/>
        <family val="2"/>
        <scheme val="minor"/>
      </rPr>
      <t xml:space="preserve"> (11 - 15 Puntos)</t>
    </r>
  </si>
  <si>
    <t>Baja calificación</t>
  </si>
  <si>
    <t>Entre &gt;=0,25% y &lt;=1,17%</t>
  </si>
  <si>
    <t>MATERIALIDAD CUANTITATIVA EJECUCION INGRESOS Y GASTOS</t>
  </si>
  <si>
    <t>Ejecución presupuestal de ingresos</t>
  </si>
  <si>
    <t>% Materialidad para ejecución de ingresos</t>
  </si>
  <si>
    <t xml:space="preserve">Valor Materialidad </t>
  </si>
  <si>
    <t>Ejecución presupuestal de gastos</t>
  </si>
  <si>
    <t>% Materialidad para ejecución de gastos</t>
  </si>
  <si>
    <t xml:space="preserve">Ejecución presupuestal Otros Rubros </t>
  </si>
  <si>
    <t>Cuenta</t>
  </si>
  <si>
    <t>Subcuenta</t>
  </si>
  <si>
    <t>Valor Rubro $</t>
  </si>
  <si>
    <t>Valor Materialidad $</t>
  </si>
  <si>
    <t>GASTOS DE COMERCIALIZACIÓN Y PRODUCCIÓN</t>
  </si>
  <si>
    <t>Materiales y Suministros</t>
  </si>
  <si>
    <t>Adquisición de Servicios</t>
  </si>
  <si>
    <t>RESERVAS PRESUPUESTALES CONSTITUIDAS</t>
  </si>
  <si>
    <t>CUENTAS POR PAGAR</t>
  </si>
  <si>
    <t>OBLIGACIONES POR PAGAR</t>
  </si>
  <si>
    <r>
      <rPr>
        <b/>
        <u/>
        <sz val="11"/>
        <color theme="1"/>
        <rFont val="Calibri"/>
        <family val="2"/>
        <scheme val="minor"/>
      </rPr>
      <t>Justificación para seleccionar el porcentaje.  Entre 0,25% y 1,17%.</t>
    </r>
    <r>
      <rPr>
        <sz val="11"/>
        <color theme="1"/>
        <rFont val="Calibri"/>
        <family val="2"/>
        <scheme val="minor"/>
      </rPr>
      <t xml:space="preserve"> </t>
    </r>
    <r>
      <rPr>
        <sz val="11"/>
        <color indexed="8"/>
        <rFont val="Calibri"/>
        <family val="2"/>
        <scheme val="minor"/>
      </rPr>
      <t xml:space="preserve">Se escogio el porcentaje, 0.7%  % teniendo en cuenta la ejecución del presupuesto de inversión de la entidad. Se estimo un riesgo combinado medio y un diseño de controles parcialmente adecuado.
</t>
    </r>
    <r>
      <rPr>
        <u/>
        <sz val="11"/>
        <color indexed="8"/>
        <rFont val="Calibri"/>
        <family val="2"/>
        <scheme val="minor"/>
      </rPr>
      <t xml:space="preserve">
</t>
    </r>
  </si>
  <si>
    <t>MATERIALIDAD DE PLANEACIÓN CUALITATIVA</t>
  </si>
  <si>
    <t>Se considerarán criterios cualitativos los relacionados con clasificación, revelación, presentación o circunstancias. Debe delimitarse muy bien el nivel de la MP, teniendo en cuenta que es posible que la situacion no se pueda valorar. Debe definirse claramente la condición de la operación, transacción, rubro o circunstancia, que lo convierten en material.</t>
  </si>
  <si>
    <t>BASE SELECCIONADA</t>
  </si>
  <si>
    <t>%</t>
  </si>
  <si>
    <t>Criterio cualitativo</t>
  </si>
  <si>
    <t>Condición de la operación, transacción, saldo o circunstancia para que sea material</t>
  </si>
  <si>
    <t>MP</t>
  </si>
  <si>
    <t xml:space="preserve">Nivel aceptado de MP Cualitativa </t>
  </si>
  <si>
    <t>Circunstancia</t>
  </si>
  <si>
    <t>Por debajo de lo estimado</t>
  </si>
  <si>
    <t>MATERIALIDAD DE EJECUCIÓN - ME -</t>
  </si>
  <si>
    <t>Generalmente se toma entre un 60% a 80% de la MP cuantitativa, en la primera fila elija un porcentaje entre este rango para las cuentas a nivel general. Sin embargo, es posible que existan saldos, transacciones u operaciones especificos en los que deban definirse niveles más bajos de ME, documentelos en las filas siguientes (inserte las necesarias).</t>
  </si>
  <si>
    <t>Cuentas a nivel general</t>
  </si>
  <si>
    <t>Concepto rubro</t>
  </si>
  <si>
    <t>Valor MP</t>
  </si>
  <si>
    <t>ME</t>
  </si>
  <si>
    <t>Saldos, transacciones u operaciones especificas presupuestales</t>
  </si>
  <si>
    <t>Valor</t>
  </si>
  <si>
    <t>Gastos de operación</t>
  </si>
  <si>
    <t>NIVEL DE INCORRECCIONES CLARAMENTE INSIGNIFICANTES</t>
  </si>
  <si>
    <t>Se puede determinar un valor por debajo del cual las incorrecciones se consideren claramente insignificantes y, por lo tanto no es necesario acumularlas porque se espera que su acumulación no tendrá un efecto material sobre los estados financieros. Pueden ser de tipo cuantitativo o de tipo cualitativo.  Si es de tipo cuantitativo puede tomar entre el rango del 2% al 8%  de la MP cuantitativa.</t>
  </si>
  <si>
    <t>Valor tipo cuantitativo</t>
  </si>
  <si>
    <t xml:space="preserve">MP Incorrecciones insignificantes </t>
  </si>
  <si>
    <t>Descripción tipo cualitativo</t>
  </si>
  <si>
    <t>SSS</t>
  </si>
  <si>
    <t>Diseño y formulación: Esmeralda Martín y Joaquin Leal</t>
  </si>
  <si>
    <t>Rol:</t>
  </si>
  <si>
    <t>Firma</t>
  </si>
  <si>
    <t>Calificación CI vigencia anterior</t>
  </si>
  <si>
    <t>Riesgo combinado</t>
  </si>
  <si>
    <t>Diseño del control</t>
  </si>
  <si>
    <t>CRITERIOS</t>
  </si>
  <si>
    <t>EXISTENCIA DE HALLAZGOS VIGENCIAS ANTERIORES</t>
  </si>
  <si>
    <t>Opinión presupuestal</t>
  </si>
  <si>
    <t>RIESGO COMBINADO VIGENCIA AUDITADA</t>
  </si>
  <si>
    <t>DISEÑO DEL CONTROL VIGENCIA AUDITADA</t>
  </si>
  <si>
    <t xml:space="preserve">bases presupuesto </t>
  </si>
  <si>
    <t xml:space="preserve">BASES FINANCIERA </t>
  </si>
  <si>
    <t>Negativa o abstención</t>
  </si>
  <si>
    <t>Alto-Crítico</t>
  </si>
  <si>
    <t>Superavit o deficit</t>
  </si>
  <si>
    <t>Fiscales o penales</t>
  </si>
  <si>
    <t>No razonable o abstención</t>
  </si>
  <si>
    <t>Inadecuado o inexistente</t>
  </si>
  <si>
    <t>Programación de ingresos</t>
  </si>
  <si>
    <t>Incorrección en cuentas del Activo</t>
  </si>
  <si>
    <t>Parcialmente adecuado</t>
  </si>
  <si>
    <t>Ingresos o gastos</t>
  </si>
  <si>
    <t>Disciplinarios</t>
  </si>
  <si>
    <t>Ejecución de ingresos</t>
  </si>
  <si>
    <t>Incorreccion en la cuenta del Patrimonio</t>
  </si>
  <si>
    <t>Utilidad bruta</t>
  </si>
  <si>
    <t>Administrativos</t>
  </si>
  <si>
    <t>Razonable</t>
  </si>
  <si>
    <t>Adecuado</t>
  </si>
  <si>
    <t>Programación de gastos</t>
  </si>
  <si>
    <t xml:space="preserve">Incorreccion en la cuenta del Pasivo </t>
  </si>
  <si>
    <t>Patrimonio o pasivos</t>
  </si>
  <si>
    <t>Ejecución de gastos</t>
  </si>
  <si>
    <t xml:space="preserve">INGRESOS </t>
  </si>
  <si>
    <t>UTILIDAD O PÉRDIDA</t>
  </si>
  <si>
    <t>Utilidad antes de impuestos</t>
  </si>
  <si>
    <t>UTILIDAD BRUTA</t>
  </si>
  <si>
    <t>Fecha realización:</t>
  </si>
  <si>
    <t>Fecha revisión:</t>
  </si>
  <si>
    <t>PROCESO:</t>
  </si>
  <si>
    <t xml:space="preserve">Seleccione aquí:      </t>
  </si>
  <si>
    <t>Claudia López</t>
  </si>
  <si>
    <t>Programa 1</t>
  </si>
  <si>
    <t>Proyecto No. 1</t>
  </si>
  <si>
    <t>Meta 1</t>
  </si>
  <si>
    <t>Carlos Galán</t>
  </si>
  <si>
    <t>Meta 2</t>
  </si>
  <si>
    <t>Eje 1</t>
  </si>
  <si>
    <t>Meta 3</t>
  </si>
  <si>
    <t>Proyecto No. 5</t>
  </si>
  <si>
    <t>Programa 2</t>
  </si>
  <si>
    <t>Meta 4</t>
  </si>
  <si>
    <t>rrrrr</t>
  </si>
  <si>
    <t>Eje 2</t>
  </si>
  <si>
    <t>uuuuu</t>
  </si>
  <si>
    <t>ooooo</t>
  </si>
  <si>
    <t>ppppp</t>
  </si>
  <si>
    <t>PLAN ESTRATEGICO INSTITUCIONAL o CORPORATIVO o el que haga sus veces</t>
  </si>
  <si>
    <r>
      <rPr>
        <b/>
        <sz val="11"/>
        <color theme="1"/>
        <rFont val="Arial"/>
        <family val="2"/>
      </rPr>
      <t xml:space="preserve">Este documento se estructuró, así:
</t>
    </r>
    <r>
      <rPr>
        <sz val="11"/>
        <color theme="1"/>
        <rFont val="Arial"/>
        <family val="2"/>
      </rPr>
      <t xml:space="preserve">
Primera Sección: “UNIVERSO Y MUESTRA DEL ESTADO DE SITUACIÓN FINANCIERA Y DEL ESTADO DE RESULTADOS”.
Segunda Sección: “INCORRECCIONES E IMPOSIBILIDADES DEL ESTADO DE SITUACIÓN FINANCIERA POR CUENTAS - HALLAZGOS FORMULADOS”.
Tercera Sección: “TIPOS DE OPINIONES, SUS PARÁMETROS, CALIFICACIÓN Y CONCEPTO DEL PRINCIPIO EVALUADO” (Sección Informativa no requiere ningún diligenciamiento).
Cuarta Sección “NÚMERO DE INCORRECCIONES E IMPOSIBILIDADES EN FUNCIÓN A LA MATERIALIDAD” (Esta información se genera automáticamente con el diligenciamiento de la segunda sección, no se requiere digitar ningún dato).
Quinta Sección: “MATERIALIDAD DETERMINADA PARA EL SUJETO DE VIGILANCIA Y CONTROL FISCAL” (Esta información se genera automáticamente con el diligenciamiento de la hoja PVCGF-04-XX Materialidad para Estados Financieros, no digitar ningún dato).
Sexta Sección: “DETERMINACIÓN DE LOS TIPOS DE OPINIÓN”. (Sección Informativa no requiere digitar ningún dato).
Séptima Sección: “NIVEL DE MATERIALIDAD DE LAS IMPOSIBILIDADES Y LAS INCORRECCIONES”. (Esta información se genera automáticamente, no se requiere digitar ningún dato).
Octava Sección: “OPINIÓN OBTENIDA Y CALIFICACIÓN DEL PRINCIPIO EVALUADO”. (Esta información se genera automáticamente con el diligenciamiento de la segunda sección, no se requiere digitar ningún dato).</t>
    </r>
  </si>
  <si>
    <t>1. UNIVERSO Y MUESTRA DEL ESTADO DE SITUACION FINANCIERA Y DEL ESTADO DE RESULTADOS</t>
  </si>
  <si>
    <t>GRUPO</t>
  </si>
  <si>
    <t>SALDOS SEGÚN ESTADOS FINACIEROS</t>
  </si>
  <si>
    <t>SUMA DE LOS SALDOS POSITIVOS Y NEGATIVOS DE LOS ESTADOS FINANCIEROS</t>
  </si>
  <si>
    <t>PART % DE LA MUESTRA</t>
  </si>
  <si>
    <t>TOTAL ACTIVOS</t>
  </si>
  <si>
    <t>TOTAL PASIVO + PATRIMONIO</t>
  </si>
  <si>
    <t>TOTAL INGRESOS</t>
  </si>
  <si>
    <t>TOTAL GASTOS</t>
  </si>
  <si>
    <r>
      <t>Los saldos del grupo total de Activos, Pasivos y Patrimonio según Estados Financieros, la suma de los saldos positivos y negativos de los estados financieros, la Muestra y la participación (%) de la muestra, no se deben digitar, toda vez que estos se obtendrán automáticamente producto del diligenciamiento de la segunda sección “</t>
    </r>
    <r>
      <rPr>
        <i/>
        <sz val="12"/>
        <rFont val="Arial"/>
        <family val="2"/>
      </rPr>
      <t>INCORRECCIONES E IMPOSIBILIDADES DEL ESTADO DE SITUACIÓN FINANCIERA POR CUENTAS - HALLAZGOS FORMULADOS</t>
    </r>
    <r>
      <rPr>
        <sz val="12"/>
        <rFont val="Arial"/>
        <family val="2"/>
      </rPr>
      <t>”. Mientras que los totales de Ingresos y Gastos y su muestra si deberán ser diligenciados por cada auditor.
Esta sección nos permitirá establecer, además de la muestra evaluada por grupo de cuentas, la consistencia con la muestra establecida en el Plan de Trabajo, obteniéndose una visión general del auditaje realizado. Así mismo, servirá de insumo para ajustar futuros procesos a evaluar; en casos de muestras no representativas donde se desborde la capacidad operativa de los contadores comisionados, frente a la complejidad y magnitud de las operaciones del sujeto auditado; situaciones en la que los Directores Sectoriales deberán reforzar el equipo de contadores comisionados para que se pueda dar cumplimiento a los objetivos planteados para este proceso y se minimicen los riesgos de auditoría.</t>
    </r>
  </si>
  <si>
    <t>2. INCORRECCIONES E IMPOSIBILIDADES DEL ESTADO DE SITUACIÓN FINANCIERA POR CUENTAS - HALLAZGOS FORMULADOS</t>
  </si>
  <si>
    <t>CALIFICACIÓN OPINIÓN ESTADOS FINANCIEROS</t>
  </si>
  <si>
    <t>CIFRAS EN</t>
  </si>
  <si>
    <t>PESOS</t>
  </si>
  <si>
    <t>VALOR DIFERENCIAS ABSOLUTAS</t>
  </si>
  <si>
    <t>CODIGO DE LA CUENTA</t>
  </si>
  <si>
    <r>
      <t xml:space="preserve">CUENTA DEL </t>
    </r>
    <r>
      <rPr>
        <b/>
        <sz val="12"/>
        <rFont val="Arial"/>
        <family val="2"/>
      </rPr>
      <t>ACTIVO</t>
    </r>
    <r>
      <rPr>
        <b/>
        <sz val="11"/>
        <rFont val="Arial"/>
        <family val="2"/>
      </rPr>
      <t xml:space="preserve">
</t>
    </r>
    <r>
      <rPr>
        <b/>
        <sz val="9"/>
        <rFont val="Arial"/>
        <family val="2"/>
      </rPr>
      <t>(SI LA CUENTA NO FUE AUDITADA SE REGISTRA A NIVEL DE 4 DIGITOS - SI FUE AUDITADA AL MAYOR NIVEL DE DESAGREGACIÓN)</t>
    </r>
  </si>
  <si>
    <t>SALDO SEGÚN ESTADO DE SITUACIÓN FINANCIERA</t>
  </si>
  <si>
    <t>MUESTRA DE AUDITORIA (Relacione con signo positivo todos los valores seleccionados)</t>
  </si>
  <si>
    <t>SOBRESTIMACION
(Relacione con signo positivo el valor</t>
  </si>
  <si>
    <t>SUBESTIMACION
(Relacione con signo positivo el valor)</t>
  </si>
  <si>
    <t>TOTAL
INCORRECCIONES (Relacione con signo positivo el valor)</t>
  </si>
  <si>
    <t>TOTAL IMPOSIBILIDADES (Relacione con signo positivo el valor)</t>
  </si>
  <si>
    <t>SUMATORIA TOTAL DE INCORRECCIONES + TOTAL DE IMPOSIBILIDADES</t>
  </si>
  <si>
    <t>ORIGEN DE LA IMPOSIBILIDAD</t>
  </si>
  <si>
    <t>TIPO DE HALLAZGO</t>
  </si>
  <si>
    <t>NUMERAL DEL HALLAZGO DEL INFORME FINAL</t>
  </si>
  <si>
    <t>DEPOSITOS EN INSTITUCIONES FINANCIERAS</t>
  </si>
  <si>
    <t>Administrativo</t>
  </si>
  <si>
    <t>3.3.1.1</t>
  </si>
  <si>
    <t>3.3.1.2</t>
  </si>
  <si>
    <t>3.3.1.3</t>
  </si>
  <si>
    <t>Información Inexistente</t>
  </si>
  <si>
    <t>3.3.1.4 - 3.3.1.5</t>
  </si>
  <si>
    <t>Información Incompleta</t>
  </si>
  <si>
    <t>TOTAL ACTIVO</t>
  </si>
  <si>
    <t>INDICE</t>
  </si>
  <si>
    <r>
      <t xml:space="preserve">CUENTA DEL </t>
    </r>
    <r>
      <rPr>
        <b/>
        <sz val="12"/>
        <rFont val="Arial"/>
        <family val="2"/>
      </rPr>
      <t>PASIVO Y PATRIMONIO</t>
    </r>
    <r>
      <rPr>
        <b/>
        <sz val="11"/>
        <rFont val="Arial"/>
        <family val="2"/>
      </rPr>
      <t xml:space="preserve">
(</t>
    </r>
    <r>
      <rPr>
        <b/>
        <sz val="9"/>
        <rFont val="Arial"/>
        <family val="2"/>
      </rPr>
      <t>SI LA CUENTA NO FUE AUDITADA SE REGISTRA A NIVEL DE 4 DIGITOS - SI FUE AUDITADA AL MAYOR NIVEL DE DESAGREGACIÓN)</t>
    </r>
  </si>
  <si>
    <t>3.3.1.6</t>
  </si>
  <si>
    <t>Información Inoportuna</t>
  </si>
  <si>
    <t>3.3.1.7 - 3.3.1.8</t>
  </si>
  <si>
    <t>TOTAL PASIVO Y PATRIMONIO</t>
  </si>
  <si>
    <t xml:space="preserve">INDICE </t>
  </si>
  <si>
    <r>
      <t xml:space="preserve">INDICE PREDOMINANTE </t>
    </r>
    <r>
      <rPr>
        <u/>
        <sz val="11"/>
        <color indexed="10"/>
        <rFont val="Arial"/>
        <family val="2"/>
      </rPr>
      <t>EN %</t>
    </r>
  </si>
  <si>
    <r>
      <t xml:space="preserve">INDICE PREDOMINANTE </t>
    </r>
    <r>
      <rPr>
        <u/>
        <sz val="11"/>
        <color indexed="10"/>
        <rFont val="Arial"/>
        <family val="2"/>
      </rPr>
      <t>EN PESOS</t>
    </r>
  </si>
  <si>
    <r>
      <rPr>
        <b/>
        <sz val="11"/>
        <rFont val="Arial"/>
        <family val="2"/>
      </rPr>
      <t>INSTRUCCIONES PARA EL DILIGENCIAMIENTO DE ESTA SECCIÓN:</t>
    </r>
    <r>
      <rPr>
        <sz val="11"/>
        <rFont val="Arial"/>
        <family val="2"/>
      </rPr>
      <t xml:space="preserve">
•	COLUMNA A: CÓDIGO DE LA CUENTA: Digite en esta casilla, según el grupo al que corresponda (Activo, Pasivo y Patrimonio) el código numérico de la cuenta que presenta el sujeto de control en el Estado de Situación financiera, de acuerdo al catálogo general de cuentas aplicable, establecido por la Contaduría General de la Nación.
•	COLUMNA B: CUENTA DEL ACTIVO/ PASIVO O PATRIMONIO: Digite en esta casilla, según el grupo al que corresponda (Activo, Pasivo y Patrimonio) el nombre de la cuenta que presenta el sujeto de control en el Estado de Situación financiera, de acuerdo al catálogo general de cuentas aplicable, establecido por la Contaduría General de la Nación.
•	COLUMNA C: SALDO SEGÚN ESTADO DE SITUACIÓN FINANCIERA: Digite en esta casilla, según el grupo al que corresponda (Activo, Pasivo y Patrimonio) el saldo de la cuenta que presenta el sujeto de control en el Estado de Situación financiera, de acuerdo al catálogo general de cuentas aplicable, establecido por la Contaduría General de la Nación.
•	COLUMNA D: MUESTRA DE AUDITORÍA: Digite en esta casilla, según el grupo al que corresponda (Activo, Pasivo y Patrimonio) el saldo de la cuenta que fue auditada y deje en blanco las no auditadas.
Nota: Para las cuentas auditadas o que presentan saldo en la columna D, se deberán adecuar y presentar las Columnas A, B y C al mayor nivel de desagregación. Lo anterior para efectos de puntualizar la cuenta y saldo auditado, la representatividad de la muestra y determinar e identificar adecuadamente las cuentas que presentan incorrecciones e imposibilidades. Relacione en la columna los valores con signo positivo todos los valores seleccionados.
Para las cuentas no auditadas, su presentación en todos los campos se efectuará a nivel de 4 dígitos.
•	COLUMNA E: SOBRESTIMACIÓN: Registre en las celdas de esta columna el valor resultante de la sumatoria de las incorrecciones establecidas por el auditor para cada cuenta auditada, cuando el saldo presentado por el sujeto de control, sea mayor al establecido por el auditor. A manera de ejemplo: Si la cuenta Muebles y Enseres presento un saldo a diciembre 31 de 20xx de $150.000.000 y dentro de este se incluyeron $30.000.000 por concepto de bienes que la entidad dio de baja y cuyo retiro no fue registrado, este valor deberá ser registrado en esta columna. Relacione con signo positivo el valor.
•	COLUMNA F: SUBESTIMACIÓN: Registre en las celdas de esta columna el valor resultante de la sumatoria de las incorrecciones establecidas por el auditor para cada cuenta auditada, cuando el saldo presentado por el sujeto de control, sea menor al establecido por el auditor. A manera de ejemplo: Si la cuenta Muebles y Enseres que presento un saldo a diciembre 31 de 20xx de $150.000.000 y dentro de este se incluyeron $50.000.000 por concepto de bienes adquiridos que no fueron registrados, este valor deberá ser registrado en esta columna. Relacione con signo positivo el valor.</t>
    </r>
  </si>
  <si>
    <r>
      <t xml:space="preserve">•	COLUMNA G: TOTAL INCORRECCIONES: Las celdas de esta columna no se diligencian, toda vez que se generan automáticamente producto de la suma de las celdas de las columnas E (SOBRESTIMACIÓN) + F (SUBESTIMACIÓN). Relacione con signo positivo el valor.
•	COLUMNA H: TOTAL IMPOSIBILIDADES: Registre en las celdas de esta columna el valor resultante de la sumatoria de los saldos presentados por el sujeto de control de las cuentas objeto de análisis, sobre los cuales no se logró obtener evidencia válida y suficiente sobre su razonabilidad. A manera de ejemplo, cuando al examinar la cuenta Anticipos, se observa que en los registros no se encuentra identificado el tercero deudor y los documentos soportes no justifican los hechos económicos, afectando el saldo del Grupo Deudores. Relacione con signo positivo el valor.
Nota: En la medida de lo posible, identificar al máximo nivel de cuenta, el saldo u operaciones sobre los cuales se evidencia la imposibilidad para evitar generalizar esta condición a otras cuentas que no les aplique.
•	COLUMNA I:	SUMATORIA TOTAL DE INCORRECCIONES + TOTAL DE IMPOSIBILIDADES: Las celdas de esta columna no se diligencian, toda vez que se generan automáticamente producto de la suma de las celdas de las columnas G (TOTAL INCORRECCIONES) y H (TOTAL IMPOSIBILIDADES).
</t>
    </r>
    <r>
      <rPr>
        <b/>
        <sz val="11"/>
        <rFont val="Arial"/>
        <family val="2"/>
      </rPr>
      <t>Todas las celdas de las anteriores columnas se deben diligenciar en pesos.</t>
    </r>
    <r>
      <rPr>
        <sz val="11"/>
        <rFont val="Arial"/>
        <family val="2"/>
      </rPr>
      <t xml:space="preserve">
•	COLUMNA J: ORIGEN DE LA IMPOSIBILIDAD: Vía lista desplegable, incluya en las celdas correlativas a las imposibilidades establecidas, seleccionando alguna de las siguientes opciones: “INFORMACION INEXISTENTE”, “INFORMACION INCOMPLETA”, “INFORMACION INOPORTUNA” o “INFORMACION INCOMPLETA E INOPORTUNA”, de los saldos sobre los cuales no se logró obtener evidencia válida y suficiente sobre su razonabilidad.
•	COLUMNA K: TIPO DE HALLAZGO: Vía lista desplegable, incluya en las celdas correlativas, el hallazgo con su incidencia, seleccionando alguna de las opciones: “Administrativo”, “Administrativo – Disciplinaria”, “Administrativo – Disciplinaria y Penal”, “Administrativo – Disciplinaria, Penal y Fiscal” o “Administrativo – Disciplinaria y Fiscal”, de los saldos sobre los cuales se determinaron incorrecciones y/o no se logró obtener evidencia válida y suficiente sobre su razonabilidad.
•	COLUMNA L: NUMERAL DEL HALLAZGO DEL INFORME FINAL: Incluya el numeral del hallazgo bajo el cual fue presentado en el informe final de auditoría.
Una vez diligenciadas todas las celdas relacionadas anteriormente, y a partir de sus totales, tanto para las cuentas del activo, como para las de pasivo y patrimonio, se generarán automáticamente los porcentajes de: Representación de las muestras, de las incorrecciones, imposibilidades y de la sumatoria total de incorrecciones + total de imposibilidades.
Así mismo, con el fin de establecer el tipo de opinión a emitir se generaron dos filas denominadas ÍNDICE PREDOMINANTE EN % e ÍNDICE PREDOMINANTE EN PESOS, producto de obtener el mayor porcentaje (%) y valor comparativo de las desviaciones de los totales de incorrecciones y de imposibilidades por grupo del activo frente a las del pasivo y patrimonio.</t>
    </r>
  </si>
  <si>
    <r>
      <t xml:space="preserve">3. TIPOS DE OPINIONES, SUS PARAMETROS, CALIFICACIÓN Y CONCEPTO DEL PRINCIPIO EVALUADO </t>
    </r>
    <r>
      <rPr>
        <b/>
        <i/>
        <sz val="16"/>
        <rFont val="Arial"/>
        <family val="2"/>
      </rPr>
      <t>(Sección Informativa no requiere ningún diligenciamiento</t>
    </r>
    <r>
      <rPr>
        <b/>
        <sz val="16"/>
        <rFont val="Arial"/>
        <family val="2"/>
      </rPr>
      <t>):</t>
    </r>
  </si>
  <si>
    <t>OPINIÓN</t>
  </si>
  <si>
    <t>INCORRECCIONES</t>
  </si>
  <si>
    <t>IMPOSIBILIDADES</t>
  </si>
  <si>
    <t>ACUMULADO DE INCORRRECCIONES + IMPOSIBILIDADES</t>
  </si>
  <si>
    <t>Puntaje asignado de acuerdo con la Opinión</t>
  </si>
  <si>
    <t>Concepto sobre el principio de Eficacia</t>
  </si>
  <si>
    <t>LIMPIA O SIN SALVEDADES</t>
  </si>
  <si>
    <r>
      <rPr>
        <b/>
        <sz val="9"/>
        <rFont val="Arial"/>
        <family val="2"/>
      </rPr>
      <t>NO MATERIAL</t>
    </r>
    <r>
      <rPr>
        <sz val="9"/>
        <rFont val="Arial"/>
        <family val="2"/>
      </rPr>
      <t xml:space="preserve">
Menores a la materialidad cuantitativa del total de activos o del pasivo + patrimonio.</t>
    </r>
  </si>
  <si>
    <r>
      <t>NO MATERIAL</t>
    </r>
    <r>
      <rPr>
        <sz val="9"/>
        <color indexed="8"/>
        <rFont val="Arial"/>
        <family val="2"/>
      </rPr>
      <t xml:space="preserve"> 
Menores a la materialidad cuantitativa del total de activo o del pasivo + patrimonio..</t>
    </r>
  </si>
  <si>
    <r>
      <t>NO MATERIAL</t>
    </r>
    <r>
      <rPr>
        <sz val="9"/>
        <color indexed="8"/>
        <rFont val="Arial"/>
        <family val="2"/>
      </rPr>
      <t xml:space="preserve"> 
Menores a la materialidad cuantitativa del total de activo o del pasivo + patrimonio.</t>
    </r>
  </si>
  <si>
    <t>CON SALVEDADES</t>
  </si>
  <si>
    <r>
      <rPr>
        <b/>
        <sz val="9"/>
        <rFont val="Arial"/>
        <family val="2"/>
      </rPr>
      <t>MATERIAL</t>
    </r>
    <r>
      <rPr>
        <sz val="9"/>
        <rFont val="Arial"/>
        <family val="2"/>
      </rPr>
      <t xml:space="preserve"> 
Mayores o iguales a 1 y menores que 5 veces la materialidad cuantitativa obtenida para el total del activos o del pasivo + patrimonio.</t>
    </r>
  </si>
  <si>
    <r>
      <t xml:space="preserve">MATERIAL 
</t>
    </r>
    <r>
      <rPr>
        <sz val="9"/>
        <color indexed="8"/>
        <rFont val="Arial"/>
        <family val="2"/>
      </rPr>
      <t>Mayores o iguales a 1 y menores que 5 veces la materialidad cuantitativa obtenida para el total del Activo o del Pasivo más Patrimonio</t>
    </r>
  </si>
  <si>
    <r>
      <t xml:space="preserve">MATERIAL 
</t>
    </r>
    <r>
      <rPr>
        <sz val="9"/>
        <color indexed="8"/>
        <rFont val="Arial"/>
        <family val="2"/>
      </rPr>
      <t>Mayores o iguales a 1 y menores que 5 veces la materialidad cuantitativa obtenida para el total del activo o del pasivo + patrimonio.</t>
    </r>
  </si>
  <si>
    <t>ADVERSA O NEGATIVA</t>
  </si>
  <si>
    <r>
      <rPr>
        <b/>
        <sz val="9"/>
        <rFont val="Arial"/>
        <family val="2"/>
      </rPr>
      <t>MATERIAL GENERALIZADA</t>
    </r>
    <r>
      <rPr>
        <sz val="9"/>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</si>
  <si>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activo o del pasivo + patrimonio.</t>
    </r>
  </si>
  <si>
    <r>
      <rPr>
        <b/>
        <sz val="9"/>
        <color indexed="8"/>
        <rFont val="Arial"/>
        <family val="2"/>
      </rPr>
      <t>MATERIAL GENERALIZADA</t>
    </r>
    <r>
      <rPr>
        <sz val="9"/>
        <color indexed="8"/>
        <rFont val="Arial"/>
        <family val="2"/>
      </rPr>
      <t xml:space="preserve">
Iguales o superiores a 5 veces la materialidad cuantitativa del total del activo o del pasivo + patrimonio.</t>
    </r>
  </si>
  <si>
    <t>DENEGACIÓN O ABSTENCIÓN</t>
  </si>
  <si>
    <r>
      <t>4. NUMERO DE INCORRECCIONES E IMPOSIBILIDADES EN FUNCIÓN A LA MATERIALIDAD (</t>
    </r>
    <r>
      <rPr>
        <b/>
        <i/>
        <sz val="16"/>
        <rFont val="Arial"/>
        <family val="2"/>
      </rPr>
      <t>Sección que se diligencia automáticamente con el diligenciamiento de la segunda sección, no digitar ningún dato</t>
    </r>
    <r>
      <rPr>
        <b/>
        <sz val="16"/>
        <rFont val="Arial"/>
        <family val="2"/>
      </rPr>
      <t>):</t>
    </r>
  </si>
  <si>
    <t>NUMERO DE INCORRECCIONES EN FUNCIÓN A LA MATERIALIDAD</t>
  </si>
  <si>
    <t>EN FUNCIÓN AL VALOR</t>
  </si>
  <si>
    <t>EN %</t>
  </si>
  <si>
    <t>NUMERO DE IMPOSIBILIDADES EN FUNCIÓN A LA MATERIALIDAD</t>
  </si>
  <si>
    <t>NUMERO DE INCORRECCIONES + IMPOSIBILIDADES EN FUNCIÓN A LA MATERIALIDAD</t>
  </si>
  <si>
    <r>
      <rPr>
        <b/>
        <u/>
        <sz val="14"/>
        <color indexed="8"/>
        <rFont val="Arial"/>
        <family val="2"/>
      </rPr>
      <t>A</t>
    </r>
    <r>
      <rPr>
        <u/>
        <sz val="14"/>
        <color indexed="8"/>
        <rFont val="Arial"/>
        <family val="2"/>
      </rPr>
      <t>. Respecto al agregado por valor:</t>
    </r>
    <r>
      <rPr>
        <sz val="14"/>
        <color indexed="8"/>
        <rFont val="Arial"/>
        <family val="2"/>
      </rPr>
      <t xml:space="preserve"> Número de veces en que las incorrecciones del </t>
    </r>
    <r>
      <rPr>
        <b/>
        <sz val="14"/>
        <color indexed="8"/>
        <rFont val="Arial"/>
        <family val="2"/>
      </rPr>
      <t>Activo</t>
    </r>
    <r>
      <rPr>
        <sz val="14"/>
        <color indexed="8"/>
        <rFont val="Arial"/>
        <family val="2"/>
      </rPr>
      <t xml:space="preserve"> sobrepasan el valor de la materialidad?</t>
    </r>
  </si>
  <si>
    <t>C. Respecto al agregado por valor: Número de veces en que las imposibilidades del Activo sobrepasan el valor de la materialidad?</t>
  </si>
  <si>
    <t>E. Respecto al agregado por valor: Número de veces en que las incorrecciones + las imposibilidades del Activo sobrepasan el valor de la materialidad?</t>
  </si>
  <si>
    <r>
      <rPr>
        <u/>
        <sz val="14"/>
        <color indexed="8"/>
        <rFont val="Arial"/>
        <family val="2"/>
      </rPr>
      <t>B. Respecto al agregado por valor:</t>
    </r>
    <r>
      <rPr>
        <sz val="14"/>
        <color indexed="8"/>
        <rFont val="Arial"/>
        <family val="2"/>
      </rPr>
      <t xml:space="preserve"> Número de veces en que las incorrecciones del </t>
    </r>
    <r>
      <rPr>
        <b/>
        <sz val="14"/>
        <color indexed="8"/>
        <rFont val="Arial"/>
        <family val="2"/>
      </rPr>
      <t>Pasivo + Patrimonio</t>
    </r>
    <r>
      <rPr>
        <sz val="14"/>
        <color indexed="8"/>
        <rFont val="Arial"/>
        <family val="2"/>
      </rPr>
      <t xml:space="preserve"> sobrepasan el valor de la materialidad?</t>
    </r>
  </si>
  <si>
    <t>D. Respecto al agregado por valor: Número de veces en que las imposibilidades del Pasivo + Patrimonio sobrepasan el valor de la materialidad?</t>
  </si>
  <si>
    <t>F. Respecto al agregado por valor: Número de veces en que las incorrecciones + las imposibilidades del Pasivo + Patrimonio sobrepasan el valor de la materialidad?</t>
  </si>
  <si>
    <t>INDICE PREDOMINATE ENTRE ACTIVOS Y PASIVOS + PATRIMONIO</t>
  </si>
  <si>
    <t>En esta sección se obtiene de manera automática el número de veces de las incorrecciones e imposibilidades en función al valor y al porcentaje establecido en materialidad cuantitativa del activo y del pasivo + patrimonio. En estos términos se establece el índice predominante entre el activo y el pasivo + patrimonio.</t>
  </si>
  <si>
    <r>
      <t>5. MATERIALIDAD DETERMINADA PARA EL SUJETO DE VIGILANCIA Y CONTROL FISCAL (</t>
    </r>
    <r>
      <rPr>
        <b/>
        <i/>
        <sz val="16"/>
        <rFont val="Arial"/>
        <family val="2"/>
      </rPr>
      <t>Sección que se diligencia automáticamente con el diligenciamiento de la hoja PVCGF-04-XX Materialidad para Estados Financieros, no digitar ningún dato</t>
    </r>
    <r>
      <rPr>
        <b/>
        <sz val="16"/>
        <rFont val="Arial"/>
        <family val="2"/>
      </rPr>
      <t>):</t>
    </r>
  </si>
  <si>
    <t>Monto Activo Total</t>
  </si>
  <si>
    <t>Corresponde a los resultados obtenidos en el papel de trabajo PVCGF-04-XX Materialidad para Estados Financieros, indicando la suma de su puntaje, el rango establecido, la base seleccionada, el monto total de la base, el porcentaje y el valor de la materialidad.</t>
  </si>
  <si>
    <r>
      <t>6. DETERMINACIÓN DE LOS TIPOS DE OPINIÓN (</t>
    </r>
    <r>
      <rPr>
        <b/>
        <i/>
        <sz val="16"/>
        <color rgb="FF000000"/>
        <rFont val="Arial"/>
        <family val="2"/>
      </rPr>
      <t>Sección Informativa no requiere ningún diligenciamiento</t>
    </r>
    <r>
      <rPr>
        <b/>
        <sz val="16"/>
        <color indexed="8"/>
        <rFont val="Arial"/>
        <family val="2"/>
      </rPr>
      <t>):</t>
    </r>
  </si>
  <si>
    <r>
      <t>7. NIVEL DE MATERIALIDAD DE LAS IMPOSIBILIDADES Y LAS INCORRECCIONES (</t>
    </r>
    <r>
      <rPr>
        <b/>
        <i/>
        <sz val="14"/>
        <color rgb="FF000000"/>
        <rFont val="Arial"/>
        <family val="2"/>
      </rPr>
      <t>Sección que se genera automáticamente,  no requiere digitar ningún dato</t>
    </r>
    <r>
      <rPr>
        <b/>
        <sz val="14"/>
        <color indexed="8"/>
        <rFont val="Arial"/>
        <family val="2"/>
      </rPr>
      <t>):</t>
    </r>
  </si>
  <si>
    <r>
      <t xml:space="preserve">IMPOSIBILIDADES: </t>
    </r>
    <r>
      <rPr>
        <sz val="12"/>
        <color indexed="8"/>
        <rFont val="Arial"/>
        <family val="2"/>
      </rPr>
      <t>Rubro o cuenta de los Estados Financieros sobre la cual el auditor no tiene seguridad razonable de que esté libre de errores, debido a la no obtención de evidencia suficiente y adecuada, por lo tanto, no puede establecer un valor cuantitativo de la misma. Esta situación puede generar una opinión Con Salvedades o, Denegación o Abstención de opinión.</t>
    </r>
  </si>
  <si>
    <t>IMPOSIBILIDADES + INCORRECCIONES</t>
  </si>
  <si>
    <r>
      <t xml:space="preserve">IMPOSIBILIDADES O INCORRECCIÓN NO MATERIAL: </t>
    </r>
    <r>
      <rPr>
        <sz val="12"/>
        <rFont val="Arial"/>
        <family val="2"/>
      </rPr>
      <t>Cuando cada una de estas o sumadas son menores a la materialidad cuantitativa del total de activos o del pasivo + patrimonio, se generará una opinión limpia o sin salvedades.</t>
    </r>
  </si>
  <si>
    <t>NO MATERIAL</t>
  </si>
  <si>
    <r>
      <rPr>
        <b/>
        <sz val="12"/>
        <rFont val="Arial"/>
        <family val="2"/>
      </rPr>
      <t xml:space="preserve">IMPOSIBILIDAD O INCORRECCIÓN MATERIAL: </t>
    </r>
    <r>
      <rPr>
        <sz val="12"/>
        <rFont val="Arial"/>
        <family val="2"/>
      </rPr>
      <t>Cuando cada una de estas o sumadas son más de 1 y menos de 5 veces la materialidad cuantitativa del total de activos o del pasivo + patrimonio, generará una opinión con salvedades.</t>
    </r>
  </si>
  <si>
    <t>MATERIAL</t>
  </si>
  <si>
    <r>
      <t xml:space="preserve">IMPOSIBILIDAD O INCORRECCIÓN MATERIAL GENERALIZADA: </t>
    </r>
    <r>
      <rPr>
        <sz val="12"/>
        <rFont val="Arial"/>
        <family val="2"/>
      </rPr>
      <t>Cuando cada una de estas o sumadas son más de 5 veces la materialidad cuantitativa del total de activos o del pasivo + patrimonio, generará una opinión adversa o una Denegación o Abstención de Opinión, según el índice predominante.</t>
    </r>
  </si>
  <si>
    <t>MATERIAL GENERALIZADA</t>
  </si>
  <si>
    <t>TOTAL IMPOSIBILIDADES ES MAYOR A TOTAL INCORRECCIONES</t>
  </si>
  <si>
    <r>
      <t>Séptima Sección: “</t>
    </r>
    <r>
      <rPr>
        <i/>
        <sz val="12"/>
        <rFont val="Arial"/>
        <family val="2"/>
      </rPr>
      <t>NIVEL DE MATERIALIDAD DE LAS IMPOSIBILIDADES Y LAS INCORRECCIONES</t>
    </r>
    <r>
      <rPr>
        <sz val="12"/>
        <rFont val="Arial"/>
        <family val="2"/>
      </rPr>
      <t>”. (Esta información se genera automáticamente, no se requiere digitar ningún dato):
En esta sección no hay que incorporar información, esta se obtiene automáticamente a partir del diligenciamiento de las secciones anteriores. Con base en los índices predominantes, nos arroja el nivel o categoría en que se encuentran las incorrecciones, las imposibilidades y las imposibilidades + las incorrecciones. Así mismo, para el caso en el cual las imposibilidades y las incorrecciones sean categorizadas como materiales y generalizadas, nos compara cuál de ellas es la predominante para establecer si estamos frente a una opinión adversa o negativa o una Denegación o abstención de opinión.</t>
    </r>
  </si>
  <si>
    <r>
      <t>8. OPINIÓN OBTENIDA Y CALIFICACIÓN DEL PRINCIPIO EVALUADO -  (</t>
    </r>
    <r>
      <rPr>
        <b/>
        <i/>
        <sz val="16"/>
        <color theme="1"/>
        <rFont val="Arial"/>
        <family val="2"/>
      </rPr>
      <t>Esta información se genera automáticamente con el diligenciamiento de la segunda sección, no se requiere digitar ningún dato</t>
    </r>
    <r>
      <rPr>
        <b/>
        <sz val="16"/>
        <color theme="1"/>
        <rFont val="Arial"/>
        <family val="2"/>
      </rPr>
      <t>)</t>
    </r>
  </si>
  <si>
    <t>TIPO DE OPINIÓN</t>
  </si>
  <si>
    <t>En esta sección no hay que incorporar información, ésta se obtiene automáticamente, a partir del diligenciamiento de las secciones anteriores. Con base en los índices predominantes arroja el tipo de opinión obtenida, el porcentaje (%) y calificación del principio de eficacia que mide este proceso.</t>
  </si>
  <si>
    <t>ABSTENCION</t>
  </si>
  <si>
    <t>Administrativo - Disciplinaria</t>
  </si>
  <si>
    <t>Administrativo - Disciplinaria y Penal</t>
  </si>
  <si>
    <t>Administrativo - Disciplinaria, Penal y Fiscal</t>
  </si>
  <si>
    <t>Información Incompleta e Inoportuna</t>
  </si>
  <si>
    <t>Administrativo - Disciplinaria y Fiscal</t>
  </si>
  <si>
    <t>Tipo de Auditoría:</t>
  </si>
  <si>
    <t>Fecha evaluación:</t>
  </si>
  <si>
    <r>
      <t xml:space="preserve">1. CONSOLIDADO DE LA CALIFICACIÓN </t>
    </r>
    <r>
      <rPr>
        <b/>
        <i/>
        <sz val="14"/>
        <rFont val="Arial"/>
        <family val="2"/>
      </rPr>
      <t>(Sección Informativa que no requiere diligenciamiento)</t>
    </r>
  </si>
  <si>
    <t>SUBPROCESO</t>
  </si>
  <si>
    <t>PONDERACION INICIAL</t>
  </si>
  <si>
    <t>PONDERACION CON DATOS eficacia</t>
  </si>
  <si>
    <t>PONDERACION CON DATOS EFICIENCIA</t>
  </si>
  <si>
    <t>PONDERACION REDISTRIBUIDA EFICACIA</t>
  </si>
  <si>
    <t>PONDERACION REDISTRIBUIDA EFICIENCIA</t>
  </si>
  <si>
    <t>CALIFICACION POR SUBPROCESO (promedio)</t>
  </si>
  <si>
    <t>CALIFICACION PROCESO
(promedio ponderado)</t>
  </si>
  <si>
    <t>EFICACIA PONDERADA</t>
  </si>
  <si>
    <t>EFICIENCIA PONDERADA</t>
  </si>
  <si>
    <t>Indicadores Financieros a partir de Estados Financieros</t>
  </si>
  <si>
    <t>Deuda Pública Interna y Externa y Servicio de la Deuda Pública</t>
  </si>
  <si>
    <t>Inversiones en Títulos Valores</t>
  </si>
  <si>
    <t>Inversiones Accionarias o Patrimoniales</t>
  </si>
  <si>
    <t>CALIFICACION DEL PROCESO</t>
  </si>
  <si>
    <t>&gt;=75% - &lt;=100</t>
  </si>
  <si>
    <t>&lt;75%</t>
  </si>
  <si>
    <t>En esta sección el auditor no deberá diligenciar ningún campo, toda vez que, ésta, se alimenta con el resultado del diligenciamiento de la segunda sección, se calcula automáticamente
La tabla de calificación y el concepto de efectividad del desempeño financiero, consolida la evaluación realizada por cada uno de los aspectos e indicadores de conformidad con los principios de eficacia y eficiencia, es pertinente verificar el contenido de la Guía para evaluar el desempeño Financiero PVCGF-04-05.
Mediante la evaluación de la gestión financiera se busca medir el principio de EFICACIA y EFICIENCIA, y la combinación de estos dos principios se expresa en términos de efectividad de acuerdo a los siguientes rangos:</t>
  </si>
  <si>
    <t>2. APLICACIÓN ANALISIS Y RESULTADOS DE LOS INDICADORES</t>
  </si>
  <si>
    <t>RESULTADOS DE LA EVALUACIÓN DEL DESEMPEÑO FINANCIERO</t>
  </si>
  <si>
    <t xml:space="preserve">INDICADORES FINANCIEROS </t>
  </si>
  <si>
    <t>TIPO DE INDICADOR</t>
  </si>
  <si>
    <t xml:space="preserve">INTERPRETACIÓN DE RESULTADO POR TIPO DE INDICADOR </t>
  </si>
  <si>
    <t>RESULTADO DE LA GESTION FISCAL</t>
  </si>
  <si>
    <t>FORMULA</t>
  </si>
  <si>
    <t>RESULTADOS DE LA APLICACIÓN DE LA FORMULA</t>
  </si>
  <si>
    <t>UNIDAD DE MEDIDA DEL RESULTADO</t>
  </si>
  <si>
    <t>INTERPRETACIÓN DEL INDICADOR</t>
  </si>
  <si>
    <t xml:space="preserve">Aplicación de los indicadores financieros a partir de Estados Financieros </t>
  </si>
  <si>
    <t>SECTOR DESCENTRALIZADO, SOCIEDADES DE ECONOMÍA MIXTA Y SECRETARÍA DE HACIENDA</t>
  </si>
  <si>
    <t xml:space="preserve"> Razón corriente</t>
  </si>
  <si>
    <t>Activo corriente / Pasivo corriente x 100</t>
  </si>
  <si>
    <t>Porcentaje</t>
  </si>
  <si>
    <t>Expresa la relación entre activos corrientes y pasivos corrientes, e indica cuantos pesos pose la empresa en los activos corriente por cada peso de los pasivos corrientes.</t>
  </si>
  <si>
    <t xml:space="preserve"> LIQUIDEZ</t>
  </si>
  <si>
    <t xml:space="preserve">Cuenta con disponibilidad de efectivo para atender sus obligaciones más inmediatas, a medida que éstas se vencen. </t>
  </si>
  <si>
    <t xml:space="preserve"> Proporciona el nivel de sostenibilidad y de crecimiento empresarial, así mismo, las debilidades en su estructura financiera y gestión operativa. </t>
  </si>
  <si>
    <t xml:space="preserve"> Capital de Trabajo </t>
  </si>
  <si>
    <t>Activo corriente - Pasivo corriente</t>
  </si>
  <si>
    <t>Valor absoluto</t>
  </si>
  <si>
    <t>Permite determinar con cuántos recursos cuenta la empresa para operar si se pagan los pasivos a corto plazo.</t>
  </si>
  <si>
    <t xml:space="preserve">Mantiene un capital de trabajo adecuado en relación con el ciclo operativo y el comportamiento del flujo de caja.   </t>
  </si>
  <si>
    <t xml:space="preserve">Comportamiento del flujo de efectivo </t>
  </si>
  <si>
    <t>(Disponibilidad Inicial (+) Recaudos del Periodo (-) Giros o pagos del Periodo = Superávit (liquidez) o déficit de tesorería (iliquidez)).</t>
  </si>
  <si>
    <t>Valores absolutos</t>
  </si>
  <si>
    <t>Permite obtener claridad sobre las partidas de recaudos y pagos que generan y demandan efectivo a la compañía. La función principal del flujo de efectivo es mostrar el superávit (liquidez) o el déficit de tesorería (iliquidez).</t>
  </si>
  <si>
    <t xml:space="preserve">Nivel de Endeudamiento. </t>
  </si>
  <si>
    <t>(Pasivo total / Activo total) x 100</t>
  </si>
  <si>
    <t>Mide la proporción de los activos totales que financian los acreedores de la empresa. Entre mayor es el índice, mayor es el monto del dinero de terceros usado para generar utilidades.</t>
  </si>
  <si>
    <t>ENDEUDAMIENTO</t>
  </si>
  <si>
    <t>Cuenta con la capacidad para responder por el endeudamiento, de tal forma que no comprometa los activos para cumplir con el pago de sus obligaciones.</t>
  </si>
  <si>
    <t>Concentración Endeudamiento a Corto Plazo</t>
  </si>
  <si>
    <t>(Pasivo corriente / Pasivo total) x 100</t>
  </si>
  <si>
    <t>Permite analizar qué porcentaje de la deuda está a corto plazo, es decir, en relación al total de las obligaciones de la empresa, qué tanto debe cancelar en el plazo máximo de un año.</t>
  </si>
  <si>
    <t>El nivel de endeudamiento a corto plazo es apropiado y le permite cumplir con aquellas obligaciones y compromisos menores a un año.</t>
  </si>
  <si>
    <t>Endeudamiento financiero</t>
  </si>
  <si>
    <t>Pasivo total / Patrimonio neto x 100</t>
  </si>
  <si>
    <t>Grado de cobertura que puede tener el patrimonio respecto a las obligaciones contraídas con terceros</t>
  </si>
  <si>
    <t>Los propietarios de la empresa respaldan el nivel de endeudamiento asumido, frente a la capacidad para cumplir con sus obligaciones contraídas con terceros para financiar los activos.</t>
  </si>
  <si>
    <t>Cubrimiento de intereses</t>
  </si>
  <si>
    <t xml:space="preserve">(EBITDA / Gasto de Intereses) x 100 </t>
  </si>
  <si>
    <t>Número de veces que la utilidad operacional supera a los intereses registrados en los gastos.</t>
  </si>
  <si>
    <t>Cuenta con el apalancamiento óptimo para cumplir con el nivel de endeudamiento a coto y largo plazo y su financiación</t>
  </si>
  <si>
    <t>Índice de Solvencia</t>
  </si>
  <si>
    <t>(Activo Total/ Pasivo total) x 100</t>
  </si>
  <si>
    <t xml:space="preserve">Mide la cantidad de pesos con los que, entre bienes y derechos se cuenta para respaldar cada peso que posee de deuda. </t>
  </si>
  <si>
    <t>EBITDA</t>
  </si>
  <si>
    <t>Utilidad antes de intereses e impuestos (Utilidad Operativa) + Depreciaciones + Amortizaciones + Provisiones</t>
  </si>
  <si>
    <t>Permite obtener una idea clara del rendimiento operativo de la empresa, al descontar de la utilidad operativa aquellos gastos contables que no implican salida de dinero en efectivo.</t>
  </si>
  <si>
    <t>RENDIMIENTO</t>
  </si>
  <si>
    <t xml:space="preserve">Tiene la capacidad para generar utilidades a partir del desempeño y resultados de sus actividades  productivas, derivadas de las decisiones estratégicas, para maximizar el valor del capital y el de sus accionistas.   </t>
  </si>
  <si>
    <t>Margen de Utilidad Neta</t>
  </si>
  <si>
    <t>(Utilidad neta / ventas netas) x 100</t>
  </si>
  <si>
    <t xml:space="preserve">Muestra la utilidad por cada unidad de venta. </t>
  </si>
  <si>
    <t xml:space="preserve"> Margen Operacional. </t>
  </si>
  <si>
    <t>(Utilidad Operacional / Ventas) x 100</t>
  </si>
  <si>
    <t>Mide el beneficio que obtiene la empresa por cada peso de ventas, luego de pagar costos y gastos como mano de obra e insumos directos, justo antes de intereses e impuestos.</t>
  </si>
  <si>
    <t>Dividendos efectivamente pagados</t>
  </si>
  <si>
    <t>(Dividendos decretados / Dividendos pagados) x 100</t>
  </si>
  <si>
    <t>Determina los dividendos efectivamente pagados a los accionistas de la empresa.</t>
  </si>
  <si>
    <t>Produce el retorno de la inversión a los socios o  accionistas en términos de rentabilidad y dividendos decretados y efectivamente  pagados.</t>
  </si>
  <si>
    <t xml:space="preserve"> Beneficio por Acción (BPA)</t>
  </si>
  <si>
    <t>Utilidad neta / Número de acciones</t>
  </si>
  <si>
    <t>Beneficio o pérdida sobre cada acción (ordinaria o preferente) en función de las acciones ordinarias o preferentes que se encuentren en circulación.</t>
  </si>
  <si>
    <t>Rentabilidad por Dividendo</t>
  </si>
  <si>
    <t>(Dividendo pagado por acción / Precio de la acción) x 100</t>
  </si>
  <si>
    <t>Beneficios que obtiene una empresa sobre sus operaciones, en un periodo determinado, que se pagan a los accionistas según la cantidad de acciones que posean.</t>
  </si>
  <si>
    <t>Comportamiento  valor de la acción</t>
  </si>
  <si>
    <t>(valor acción año actual - valor acción año anterior / valor acción año anterior) x100</t>
  </si>
  <si>
    <t xml:space="preserve">Determina el comportamiento del valor de la acción en el mercado bursátil en el periodo evaluado, en relación con el año  anterior. </t>
  </si>
  <si>
    <t xml:space="preserve">El valor de las acciones cotizadas en el mercado bursátil genera estabilidad para la empresa y sus accionistas, aportando valor agregado. </t>
  </si>
  <si>
    <t>Eficiencia en el recaudo</t>
  </si>
  <si>
    <t>(Recaudos en la vigencia actual de los saldos por cobrar de vigencias anteriores/ Saldo por cobrar en la vigencia anterior) x 100</t>
  </si>
  <si>
    <t>Porcentaje del recaudo de la vigencia actual de los recursos por cobrar de vigencias anteriores</t>
  </si>
  <si>
    <t>ACTIVIDAD</t>
  </si>
  <si>
    <t xml:space="preserve">El proceso de recaudo de cartera en la vigencia evaluada se llevó a cabo de manera eficiente, en relación con los recursos ingresados por cuentas por cobrar de vigencias anteriores, incluido el análisis de costo beneficio en el proceso de recuperación de la cartera. </t>
  </si>
  <si>
    <t>Variación marginal del Ingreso</t>
  </si>
  <si>
    <t>(Ingresos propios de la vigencia analizada / Ingresos propios de la vigencia anterior) x 100.</t>
  </si>
  <si>
    <t>Variación porcentual de la generación de Ingresos propios de una vigencia en relación a otra.</t>
  </si>
  <si>
    <t>Relación Beneficio Costo de Cartera</t>
  </si>
  <si>
    <t>(Sumatoria de costos y gastos asumidos para el recaudo de cartera en la vigencia evaluada / Recaudo total de cartera de la vigencia evaluada) x 100</t>
  </si>
  <si>
    <t>Resultados financieros de la gestión del cobro de Cartera de la vigencia</t>
  </si>
  <si>
    <t xml:space="preserve">El proceso de generación de los ingresos propios comparativamente mostraron crecimiento con respecto a periodo(s) anterior(res) 
</t>
  </si>
  <si>
    <t>OTRAS ACTIVIDADES A EVALUAR</t>
  </si>
  <si>
    <t>MODELO DE DIAGNÓSTICO FINANCIERO</t>
  </si>
  <si>
    <t>MARGEN EBITDA</t>
  </si>
  <si>
    <t>(EBITDA / Ingresos operacionales) x 100</t>
  </si>
  <si>
    <t>Proporciona la capacidad de la empresa para generar efectivo por cada peso de ventas. Se utilizada para evaluar la rentabilidad de una empresa comparando sus ingresos con sus ganancias</t>
  </si>
  <si>
    <t>Eficiencia operativa enfocada a incrementar los ingresos y/o reducir los costos y gastos, derivado de las decisiones y estrategias implementadas por el sujeto de vigilancia y control fiscal para  generar flujo de caja suficiente para atender los compromisos de la operación; teniendo como referente el comportamiento de la(s) vigencia(s) anterior(es).</t>
  </si>
  <si>
    <t>Capital de Trabajo Neto Operativo KTNO</t>
  </si>
  <si>
    <t>(Inventarios + cuentas por cobrar (Clientes) – cuentas por pagar (Proveedores))</t>
  </si>
  <si>
    <t>Relaciona el comportamiento de los saldos de inventarios y cuentas por cobrar, con los registros de cuentas por pagar (Proveedores), para determinar la porción del flujo de caja que la empresa se apropia, con el fin de reponer el capital de trabajo.</t>
  </si>
  <si>
    <t>Eficiencia en la administración del capital de trabajo optimizando la generación del flujo de caja,  como resultado de la gestión del proceso productivo y niveles de ventas obtenidos en el periodo evaluado, en comparación con  la(s) vigencias(s) anterior(es), que le permita cumplir adecuadamente con sus compromisos adquiridos en su operación.</t>
  </si>
  <si>
    <t>Productividad del Capital de Trabajo-PKT</t>
  </si>
  <si>
    <t>(KTNO / Ingresos Operacionales)</t>
  </si>
  <si>
    <t>Representa los centavos de capital de trabajo que, por cada peso de ingresos operacionales debe retener la empresa para operar</t>
  </si>
  <si>
    <t>Palanca de Crecimiento – PDC</t>
  </si>
  <si>
    <t>Margen EBITDA/PKT</t>
  </si>
  <si>
    <t>Pretende establecer si es o no conveniente que la empresa crezca. Mientras mayor sea el resultado, más atractivo es el crecimiento para la compañía.</t>
  </si>
  <si>
    <t>Estructura de Caja</t>
  </si>
  <si>
    <t>EBITDA (-) Impuestos= Flujo de Caja Bruto (-) Variación KTNO (-) Intereses (-) Dividendos = Disponible para inversión y abono a capital</t>
  </si>
  <si>
    <t>Permite determinar el efecto que, sobre la caja disponible para inversión y abono a capital de la deuda, se produce como consecuencia de la Estructura Operativa y la Estructura Financiera que la empresa mantiene para operar.</t>
  </si>
  <si>
    <t xml:space="preserve">Múltiplo de Deuda </t>
  </si>
  <si>
    <t xml:space="preserve">(Deuda Financiera Total / EBITDA) </t>
  </si>
  <si>
    <t>Permite establecer el riesgo financiero que asume la empresa al obtener un importante monto de deuda frente a la capacidad que tiene para cumplir el pago del capital (saldo total de la deuda) con su flujo de caja.</t>
  </si>
  <si>
    <t xml:space="preserve">Riesgo financiero en relación con la(s) deuda(s) asumida(s), en proporción con las utilidades obtenidas (EBITDA) y la cantidad de recursos que se destinan al pago de intereses y amortización de capital, con el fujo de caja generado en la actividad operativa.  </t>
  </si>
  <si>
    <t>Incidencia de Intereses</t>
  </si>
  <si>
    <t>(Intereses / Flujo de Caja Bruto) x 100</t>
  </si>
  <si>
    <t>Proporción del Flujo de Caja Bruto de la entidad destinada al pago de intereses.</t>
  </si>
  <si>
    <t>Rentabilidad del Activo (ROA)</t>
  </si>
  <si>
    <t>(Utilidad neta / Activo total) x 100</t>
  </si>
  <si>
    <t>Expresa la rentabilidad económica de la empresa, independientemente de la forma en que se financie el activo (con recursos propios o recursos de terceros).</t>
  </si>
  <si>
    <t xml:space="preserve">Capacidad del sujeto de vigilancia y control fiscal para generar utilidades con el uso de los recursos invertidos y la eficiencia y efectividad en la administración y utilización de los activos productivos de la empresa. </t>
  </si>
  <si>
    <t>ASPECTOS DE CALIFICACIÓN APLICABLES</t>
  </si>
  <si>
    <t>Deuda Pública Interna y Externa</t>
  </si>
  <si>
    <t>La empresa evalúa su capacidad de endeudamiento antes de contraer las obligaciones de deuda y dicha capacidad fue calculada con variables reales.</t>
  </si>
  <si>
    <t>MANEJO DE DEUDA PÚBLICA (INTERNA Y EXTERNA)</t>
  </si>
  <si>
    <t>Capacidad de endeudamiento</t>
  </si>
  <si>
    <t>La capacidad de endeudamiento utilizado cumple con las políticas y directrices definidas por la alta dirección y/o Comité creado para su control y manejo, sin exceder los límites de endeudamiento definidos de acuerdo con la capacidad de pago.</t>
  </si>
  <si>
    <t xml:space="preserve">De acuerdo con el resultado que proporcionan las firmas calificadoras de riesgos crediticios, la compañía presenta capacidad suficiente para el nivel de endeudamiento efectuado en el periodo evaluado.   </t>
  </si>
  <si>
    <t>La entidad contaba con la capacidad de pago suficiente al momento de celebrar la nueva operación de crédito público, conforme a lo establecido por las normas vigentes.</t>
  </si>
  <si>
    <t xml:space="preserve">Nivel de endeudamiento público </t>
  </si>
  <si>
    <t>La entidad cumplió con todas las autorizaciones requeridas para efectuar el endeudamiento.</t>
  </si>
  <si>
    <t>La operación de crédito público efectuada fue acompañada de los documentos y soportes establecidos en las normas que regulan el tema.</t>
  </si>
  <si>
    <t xml:space="preserve">Los recursos obtenidos mediante la operación de crédito público se han destinado exclusivamente a la financiación de gastos de inversión. (con las excepciones que se aprueben a través de actas de Junta Directiva y/o Asamblea de Socios entre otras.  ) </t>
  </si>
  <si>
    <t>Servicio de la Deuda Pública</t>
  </si>
  <si>
    <t>La entidad cumple en forma oportuna con el pago de sus acreencias crediticias en la forma y termino pactados en los correspondiente contratos de endeudamiento.</t>
  </si>
  <si>
    <t xml:space="preserve"> Oportunidad en el pago de capital e intereses</t>
  </si>
  <si>
    <t>Los intereses y demás erogaciones relacionadas con costos financieros de la deuda, se liquidan y pagan conforme las tasas  pactadas.</t>
  </si>
  <si>
    <t>La entidad ha llevado a cabo renegociación de la deuda negociada en moneda extranjera, para mejorar las condiciones del crédito y hacer menos costoso el pago de intereses.</t>
  </si>
  <si>
    <t>La compañía a través del área competente, hace los análisis necesarios para establecer los excedentes de liquidez para llevar a cabo inversiones en títulos valores, para no afectar la disponibilidad de los recursos.</t>
  </si>
  <si>
    <t>MANEJO DE EXCEDENTES DE TESORERÍA</t>
  </si>
  <si>
    <t xml:space="preserve">Gestión de las inversiones en títulos valores </t>
  </si>
  <si>
    <t>Las operaciones de mercado secundario de valores fueron  efectuadas teniendo en cuenta los precios del mercado vigentes en la fecha en que se realizó la inversión financiera.</t>
  </si>
  <si>
    <t>La empresa realiza sus inversiones financieras solo en mercado de renta fija.</t>
  </si>
  <si>
    <t>Los rendimientos financieros procedentes del portafolio de inversiones son cobrados por la empresa dentro de los términos y condiciones pactados en la operación, se encuentran correctamente liquidados y se evidencia el respectivo registro contable.</t>
  </si>
  <si>
    <t>La empresa realiza en forma permanente el análisis de riesgos asociados a las operaciones financieras.</t>
  </si>
  <si>
    <t>Las inversiones financieras en títulos valores se efectúan en empresas vigiladas por la superintendencia financiera y calificadas con los máximos valores por las compañías calificadoras de riesgos.</t>
  </si>
  <si>
    <t>Desempeño financiero de la asignación de los recursos financieros producto de excedentes de tesorería o recursos disponibles que pueden ser invertidos en las diferentes modalidades de inversión financiera que realice la tesorería o la dependencia que haga sus veces (mesas de dinero) para obtener la mayor rentabilidad posible dentro de los menores rangos de riesgo existentes y maximizar los beneficios financieros.*</t>
  </si>
  <si>
    <t>Desempeño financiero de las inversiones constituidas en el país y en el exterior, donde el Distrito Capital tiene participación accionaria o patrimonial,   en términos del retorno de la inversión.</t>
  </si>
  <si>
    <t>DESEMPEÑO FINANCIERO DE LAS INVERSIONES ACCIONARIAS Y PATRIMONIALES</t>
  </si>
  <si>
    <t xml:space="preserve">Control y seguimiento de las inversiones accionarias y patrimoniales, en términos de eficiencia, que garanticen el retorno de la inversión.  </t>
  </si>
  <si>
    <t xml:space="preserve">La empresa realiza un control y seguimiento periódico y oportuno de la gestión y los resultados de las inversiones accionarias y patrimoniales, que garanticen el retorno de su inversión. </t>
  </si>
  <si>
    <t>Dividendos decretados y recibidos, frente a las capitalizaciones realizadas por la casa matriz, que proporcione un costo/beneficio.</t>
  </si>
  <si>
    <t>Balance Financiero de los préstamos otorgados y recibidos por la casa matriz (proporción de prestamos realizados Inter compañías).</t>
  </si>
  <si>
    <t xml:space="preserve">La empresa lleva a cabo los estudios y análisis económicos, financieros, de regulación, de mercado y técnicos, suficientes, antes de realizar las inversiones accionarias, para determinar de manera objetiva e idónea la situación financiera de la compañía en donde va a invertir. </t>
  </si>
  <si>
    <t xml:space="preserve">Se identifican previamente los riesgos que debe asumirse al realizar esta clase de inversiones  (económicos, financieros, de regulación, de mercado, técnicos y de toda índole).    </t>
  </si>
  <si>
    <t>* En las entidades que aplique</t>
  </si>
  <si>
    <t>En el caso de que se hayan dictaminado con opinión negativa o con abstención de opinión, NO habrá lugar a la evaluación de los indicadores financieros, deuda pública, inversiones en títulos valores e inversiones accionarias o patrimoniales. En este caso, los aspectos aplicables, se calificarán con cero (0)%.</t>
  </si>
  <si>
    <r>
      <t xml:space="preserve">El concepto sobre el desempeño financiero se fundamenta en el resultado de la aplicación e interpretación de los indicadores financieros, en términos de eficiencia y eficacia, para determinar </t>
    </r>
    <r>
      <rPr>
        <sz val="11"/>
        <color theme="1"/>
        <rFont val="Arial"/>
        <family val="2"/>
      </rPr>
      <t>el nivel de sostenibilidad y de crecimiento emp</t>
    </r>
    <r>
      <rPr>
        <sz val="11"/>
        <color rgb="FF000000"/>
        <rFont val="Arial"/>
        <family val="2"/>
      </rPr>
      <t>resa</t>
    </r>
    <r>
      <rPr>
        <sz val="11"/>
        <color theme="1"/>
        <rFont val="Arial"/>
        <family val="2"/>
      </rPr>
      <t>rial, orientado a maximizar el valor de la empresa y de sus accionistas</t>
    </r>
    <r>
      <rPr>
        <sz val="11"/>
        <color rgb="FF000000"/>
        <rFont val="Arial"/>
        <family val="2"/>
      </rPr>
      <t>; así mismo, establece</t>
    </r>
    <r>
      <rPr>
        <sz val="11"/>
        <color theme="1"/>
        <rFont val="Arial"/>
        <family val="2"/>
      </rPr>
      <t xml:space="preserve"> las debilidades en su situación financiera y operativa. Considera igualmente la eficacia en el </t>
    </r>
    <r>
      <rPr>
        <sz val="11"/>
        <color rgb="FF000000"/>
        <rFont val="Arial"/>
        <family val="2"/>
      </rPr>
      <t>manejo de la deuda pública, la administración de los excedentes financieros y el desempeño financiero y económico donde tiene participación accionaria y patrimonial.
Este instrumento a pesar de tener un alto contenido de información, exige una baja carga de registros, toda vez, que todos los campos están parametrizados, tal como se presenta a continuación:</t>
    </r>
  </si>
  <si>
    <t>Resultados de la evaluación del desempeño financiero</t>
  </si>
  <si>
    <t>En esta sección, el auditor según aplique, sólo deberá diligenciar las celdas pertinentes de las columnas F y M, relacionadas con los aspectos de los subprocesos:</t>
  </si>
  <si>
    <r>
      <t>·</t>
    </r>
    <r>
      <rPr>
        <sz val="7"/>
        <color theme="1"/>
        <rFont val="Times New Roman"/>
        <family val="1"/>
      </rPr>
      <t xml:space="preserve">         </t>
    </r>
    <r>
      <rPr>
        <sz val="11"/>
        <color theme="1"/>
        <rFont val="Arial"/>
        <family val="2"/>
      </rPr>
      <t>Indicadores financieros a partir de estados financieros</t>
    </r>
  </si>
  <si>
    <r>
      <t>·</t>
    </r>
    <r>
      <rPr>
        <sz val="7"/>
        <color theme="1"/>
        <rFont val="Times New Roman"/>
        <family val="1"/>
      </rPr>
      <t xml:space="preserve">         </t>
    </r>
    <r>
      <rPr>
        <sz val="11"/>
        <color theme="1"/>
        <rFont val="Arial"/>
        <family val="2"/>
      </rPr>
      <t>Deuda pública interna y externa y servicio de la deuda pública</t>
    </r>
  </si>
  <si>
    <r>
      <t>·</t>
    </r>
    <r>
      <rPr>
        <sz val="7"/>
        <color theme="1"/>
        <rFont val="Times New Roman"/>
        <family val="1"/>
      </rPr>
      <t xml:space="preserve">         </t>
    </r>
    <r>
      <rPr>
        <sz val="11"/>
        <color theme="1"/>
        <rFont val="Arial"/>
        <family val="2"/>
      </rPr>
      <t>Inversiones en títulos valores</t>
    </r>
  </si>
  <si>
    <r>
      <t>·</t>
    </r>
    <r>
      <rPr>
        <sz val="7"/>
        <color theme="1"/>
        <rFont val="Times New Roman"/>
        <family val="1"/>
      </rPr>
      <t xml:space="preserve">         </t>
    </r>
    <r>
      <rPr>
        <sz val="11"/>
        <color theme="1"/>
        <rFont val="Arial"/>
        <family val="2"/>
      </rPr>
      <t>Inversiones accionarias o patrimoniales</t>
    </r>
  </si>
  <si>
    <t>Los indicadores y análisis que no apliquen se dejaran con celda vacía, es decir no hay que registrar ningún dato.</t>
  </si>
  <si>
    <t>El auditor debe seleccionar aquellos indicadores y aspectos que de acuerdo con su experticia, sean pertinentes para efectuar la evaluación, según la naturaleza, características y misionalidad del sujeto de vigilancia y control fiscal. En consecuencia, el número y tipo de indicadores a utilizar son potestad del auditor, quien puede considerar elementos adicionales para la evaluación.</t>
  </si>
  <si>
    <t>Sujeto de Vigilancia y Control Fiscal:</t>
  </si>
  <si>
    <t>Fecha de revisión Líder:</t>
  </si>
  <si>
    <t>DATOS GENERALES:  EL auditor deberá diligenciar los datos generales del sujeto de control, PAD y de la auditoria Financiera y de Gestión a desarrollar, que se solicitan.</t>
  </si>
  <si>
    <t>INDICADORES</t>
  </si>
  <si>
    <t>Grado de ejecución del Ingreso</t>
  </si>
  <si>
    <t>(Valor del recaudo del periodo/Total recaudo programado en el mismo periodo) x100</t>
  </si>
  <si>
    <t>Indica el grado de recaudos de la vigencia.</t>
  </si>
  <si>
    <t>INDICADORES PRESUPUESTALES</t>
  </si>
  <si>
    <t xml:space="preserve">Gestión presupuestal de ingresos en relación con el nivel de recaudo (operacionales y no operacionales) en la vigencia evaluada, teniendo en cuenta el análisis comparativo con año(s) anteriores.  </t>
  </si>
  <si>
    <t>Nivel de desempeño presupuestal del ordenador del gasto en términos de eficacia.</t>
  </si>
  <si>
    <t>Grado de Ejecución del Gasto</t>
  </si>
  <si>
    <t>(Valor acumulado del gasto o compromisos suscritos/presupuesto definitivo en el periodo) x100</t>
  </si>
  <si>
    <t>Indica el porcentaje del presupuesto gastado o comprometido</t>
  </si>
  <si>
    <t xml:space="preserve">Gestión presupuestal de gastos (costos) que se relaciona con: Valor acumulado del gasto  o compromisos suscritos,. Teniendo en cuenta el análisis comparativo con año(s) anterior(es). </t>
  </si>
  <si>
    <t>Grado Ejecución de Giros</t>
  </si>
  <si>
    <t>(Valor total de pagos / valor total del presupuesto comprometido) x100</t>
  </si>
  <si>
    <t>Indica el porcentaje del presupuesto efectivamente pagado por compromisos adquiridos</t>
  </si>
  <si>
    <t xml:space="preserve">Gestión presupuestal de gastos (costos) que se relaciona con: Valor acumulado del presupuesto efectivamente pagado. Teniendo en cuenta el análisis comparativo con año(s) anterior(es). </t>
  </si>
  <si>
    <t xml:space="preserve">Grado ejecución de Reservas presupuestales u obligaciones/cuentas por pagar </t>
  </si>
  <si>
    <t>(valor total de pagos de reservas, obligaciones o cuentas por pagar realizados en el periodo / valor definitivo de reservas en el periodo) x100</t>
  </si>
  <si>
    <t>Indica el porcentaje del presupuesto de reservas u obligaciones efectivamente pagadas en el periodo</t>
  </si>
  <si>
    <t xml:space="preserve">Gestión presupuestal de gastos (costos) que se relaciona con: Valor acumulado de reservas u obligaciones constituidas al cierre de la vigencia (Acuerdo 5 de 1998 Concejo de Bogotá) pagadas durante la misma vigencia fiscal. Teniendo en cuenta el análisis comparativo con año(s) anterior(es). </t>
  </si>
  <si>
    <t xml:space="preserve">Ejecución de Vigencias Futuras </t>
  </si>
  <si>
    <t>(Valor de compromisos de vigencias futuras / Valor definitivo de vigencias futuras)x100</t>
  </si>
  <si>
    <t>Grados de compromisos de las vigencias futuras  en el periodo</t>
  </si>
  <si>
    <t xml:space="preserve">Gestión presupuestal de gastos (costos) que se relaciona con: Valor acumulado de Vigencias Futuras en la vigencia a auditar . Teniendo en cuenta el análisis comparativo con año(s) anterior(es) si las hubo. </t>
  </si>
  <si>
    <t xml:space="preserve">Grado de pagos de Vigencias Futuras </t>
  </si>
  <si>
    <t>(Valor de pagos o giros de vigencias futuras / Valor acumulado de compromisos de vigencias futuras)x100</t>
  </si>
  <si>
    <t>Grado de pagos de las vigencias futuras  en el periodo</t>
  </si>
  <si>
    <t xml:space="preserve">Gestión presupuestal de gastos (costos) que se relaciona con: Pagos efectivamente realizados de Vigencias Futuras en la vigencia a auditar.. Teniendo en cuenta el análisis comparativo con año(s) anterior(es) si las hubo. </t>
  </si>
  <si>
    <t>Reservas Constituidas de Inversión</t>
  </si>
  <si>
    <t>(valor total de las reservas constituidas por Inversión en el periodo / valor Ppto definitivo de Inversión del año anterior) x100</t>
  </si>
  <si>
    <t>Indica el porcentaje de reservas por presupuesto de funcionamiento e Inversión (Acuerdo 5 de 1998 Concejo de Bogotá)</t>
  </si>
  <si>
    <t xml:space="preserve">Gestión presupuestal de gastos (costos) que se relaciona con: Valor de las Reservas constituidas de la vigencia a auditar, teniendo en cuenta los requisitos de constitución y el monto limite establecido para funcionamiento e inversión en el Acuerdo 5 de 1998, Concejo de Bogotá. Teniendo en cuenta el análisis comparativo con año(s) anterior(es). </t>
  </si>
  <si>
    <t>Reservas Constituidas de Funcionamiento</t>
  </si>
  <si>
    <t>(valor total de las reservas constituidas por Funcionamiento en el periodo / valor Ppto definitivo de Funcionamiento del año anterior) x100</t>
  </si>
  <si>
    <t>Grado Pagos Pasivos exigibles</t>
  </si>
  <si>
    <t>(valor total depuración,liberaciones, liquidación y pagos realizados en el periodo Pasivos exigibles / valor total Pasivos exigibles) x100</t>
  </si>
  <si>
    <t>Indica el porcentaje de pagos realizados en la depuración de pasivos exigibles</t>
  </si>
  <si>
    <t xml:space="preserve">Gestión presupuestal de gastos (costos) que se relaciona con: La Gestión presupuestal de depuración de los Pasivos Exigibles en la vigencia a auditar. Teniendo en cuenta el análisis comparativo con año(s) anterior(es). </t>
  </si>
  <si>
    <t>Representación Modificaciones Presupuestales</t>
  </si>
  <si>
    <t>(valor total modificaciones presupuestales/ valor total presupuesto definitivo) x100</t>
  </si>
  <si>
    <t>Indica el porcentaje del presupuesto que fue modificado</t>
  </si>
  <si>
    <t xml:space="preserve">Presupuesto modificado (ingresos, gastos y costos) en la vigencia evaluada, realizado(s) mediante acto administrativo (aprobación en Junta Directiva), con las respectivas justificaciones, en términos del principio de eficacia presupuestal.    </t>
  </si>
  <si>
    <t>Eficacia en el recaudo</t>
  </si>
  <si>
    <t>(Total rentas pendientes de cobro en el periodo / Total rentas recaudadas en el periodo)</t>
  </si>
  <si>
    <t>Refleja el comportamiento del recaudo, es decir, la estricta y exacta gestión para el cobro y la recuperación de los impuestos y la calidad del proceso de cobro.</t>
  </si>
  <si>
    <t>EFICACIA Y CRECIMIENTO DEL RECAUDO</t>
  </si>
  <si>
    <r>
      <rPr>
        <b/>
        <sz val="10"/>
        <color indexed="8"/>
        <rFont val="Arial"/>
        <family val="2"/>
      </rPr>
      <t>Eficacia y crecimiento del recaudo:</t>
    </r>
    <r>
      <rPr>
        <sz val="10"/>
        <color indexed="8"/>
        <rFont val="Arial"/>
        <family val="2"/>
      </rPr>
      <t xml:space="preserve"> Gestión del recaudo producto del crecimiento en las rentas por cobrar, para satisfacer las necesidades de la comunidad, en términos de eficiencia y eficacia.</t>
    </r>
  </si>
  <si>
    <t>Nivel de desempeño presupuestal del ordenador del gasto en términos de eficiencia.</t>
  </si>
  <si>
    <r>
      <rPr>
        <b/>
        <sz val="11"/>
        <color rgb="FF000000"/>
        <rFont val="Arial"/>
        <family val="2"/>
      </rPr>
      <t>INDICADORES A PARTIR DE INFORMES DE EJECUCIÓN PRESUPUESTAL PARA OPINIÓN PRESUPUESTAL</t>
    </r>
    <r>
      <rPr>
        <sz val="11"/>
        <color indexed="8"/>
        <rFont val="Arial"/>
        <family val="2"/>
      </rPr>
      <t xml:space="preserve">
</t>
    </r>
    <r>
      <rPr>
        <b/>
        <sz val="11"/>
        <color rgb="FF000000"/>
        <rFont val="Arial"/>
        <family val="2"/>
      </rPr>
      <t xml:space="preserve">INSTRUCCIONES:
</t>
    </r>
    <r>
      <rPr>
        <sz val="11"/>
        <color rgb="FF000000"/>
        <rFont val="Arial"/>
        <family val="2"/>
      </rPr>
      <t>Para cada indicador según sea aplicable al Sujeto de Control auditado, registre en la columna "</t>
    </r>
    <r>
      <rPr>
        <sz val="11"/>
        <color indexed="8"/>
        <rFont val="Arial"/>
        <family val="2"/>
      </rPr>
      <t>RESULTADOS DE LA APLICACIÓN DE LA FORMULA" el resultado u operación que calcule la formula del indicador no requiere aplicar formato a la celda ya esta configurado como porcentaje, automáticamente la calificación correspondiente se reflejara en la última columna que ya se encuentra formulada de acuerdo con el indicador reportado y su interpretación correspondiente</t>
    </r>
  </si>
  <si>
    <r>
      <rPr>
        <b/>
        <sz val="11"/>
        <color rgb="FF000000"/>
        <rFont val="Arial"/>
        <family val="2"/>
      </rPr>
      <t>Nota1</t>
    </r>
    <r>
      <rPr>
        <sz val="11"/>
        <color indexed="8"/>
        <rFont val="Arial"/>
        <family val="2"/>
      </rPr>
      <t>: Deje en blanco las celdas de los indicadores no aplicables y/o no auditados</t>
    </r>
  </si>
  <si>
    <t>Condición o Situación encontrada
(Texto)</t>
  </si>
  <si>
    <r>
      <t xml:space="preserve">Tipo de Incorrección o Imposibilidad
</t>
    </r>
    <r>
      <rPr>
        <sz val="11"/>
        <color theme="0"/>
        <rFont val="Arial"/>
        <family val="2"/>
      </rPr>
      <t>(lista desplegable)</t>
    </r>
  </si>
  <si>
    <r>
      <t xml:space="preserve">Clasificación presupuestal
</t>
    </r>
    <r>
      <rPr>
        <sz val="10"/>
        <color theme="0"/>
        <rFont val="Arial"/>
        <family val="2"/>
      </rPr>
      <t>(lista desplegable)</t>
    </r>
  </si>
  <si>
    <r>
      <t xml:space="preserve">Rubro o Aspecto Presupuestal
</t>
    </r>
    <r>
      <rPr>
        <sz val="10"/>
        <color theme="0"/>
        <rFont val="Arial"/>
        <family val="2"/>
      </rPr>
      <t>(Código - Nombre)</t>
    </r>
  </si>
  <si>
    <r>
      <t xml:space="preserve">Origen o Causa
</t>
    </r>
    <r>
      <rPr>
        <sz val="10"/>
        <color theme="0"/>
        <rFont val="Arial"/>
        <family val="2"/>
      </rPr>
      <t>(lista desplegable)</t>
    </r>
  </si>
  <si>
    <r>
      <t xml:space="preserve">Principio Presupuestal afectado
</t>
    </r>
    <r>
      <rPr>
        <sz val="10"/>
        <color theme="0"/>
        <rFont val="Arial"/>
        <family val="2"/>
      </rPr>
      <t>(lista desplegable)</t>
    </r>
  </si>
  <si>
    <r>
      <t xml:space="preserve">Valor de la Incorrección o Imposibilidad
</t>
    </r>
    <r>
      <rPr>
        <sz val="10"/>
        <color theme="0"/>
        <rFont val="Arial"/>
        <family val="2"/>
      </rPr>
      <t>( Valores en pesos)</t>
    </r>
  </si>
  <si>
    <t>Porcentaje (% ) de hallazgo o salvedad respecto a la cuenta presupuestal</t>
  </si>
  <si>
    <r>
      <t xml:space="preserve">Resumen de la Observación o Hallazgo
</t>
    </r>
    <r>
      <rPr>
        <sz val="11"/>
        <color theme="0"/>
        <rFont val="Arial"/>
        <family val="2"/>
      </rPr>
      <t>(texto)</t>
    </r>
  </si>
  <si>
    <t>Efecto en caso de incorrección o 
posible efecto en caso de imposibilidad 
(texto)</t>
  </si>
  <si>
    <t>Presunta
 incidencia</t>
  </si>
  <si>
    <t>Numeral del hallazgo(s) en Informe Final</t>
  </si>
  <si>
    <t>Referencia P/T</t>
  </si>
  <si>
    <t>Auditada la información reportada por la SDH en el aplicativo SIVICOF y a través de la comunicación 2022EE017534O1 del 21/01/2022, se compararon las cifras referentes al recaudo de los Ingresos Tributarios correspondientes a la vigencia 2021, encontrando inconsistencias en los valores reportados</t>
  </si>
  <si>
    <t>Imposibilidades en el Informe de Ejecución de Ingresos</t>
  </si>
  <si>
    <t>O12-RECURSOS DE CAPITAL</t>
  </si>
  <si>
    <t>Falta de gestión</t>
  </si>
  <si>
    <t>Anualidad</t>
  </si>
  <si>
    <t>Hallazgo Administrativo por presentar inconsistencias en la información reportada en el SIVICOF respecto del recaudo de los ingresos tributarios</t>
  </si>
  <si>
    <t>3.3.4.1</t>
  </si>
  <si>
    <t>Como se observa en el Cuadro comparativo, entre el presupuesto disponible y el PAA, existen diferencias en las cifras, lo cual denota falta de coordinación entre las áreas que planean y ejecutan. Así mismo, en el manejo de los rubros antes mencionados, existen debilidades en la planeación, programación y ejecución del  Plan  Anual de Adquisiciones-PAA, en razón a que, el presupuesto planeado y aprobado presenta diferencias considerables con respecto a lo ejecutado en su PAA.</t>
  </si>
  <si>
    <t>Imposibilidades en el Informe de Ejecución de Gastos</t>
  </si>
  <si>
    <t>Planificación</t>
  </si>
  <si>
    <t>Hallazgo Administrativo por la inadecuada programación en el manejo de los rubros de los gastos de funcionamiento y deficiencias en la Planeación del Plan Anual de Adquisiciones - PAA, de la Unidad Ejecutora 1.</t>
  </si>
  <si>
    <t xml:space="preserve">3.3.4.2 </t>
  </si>
  <si>
    <t>Entre el presupuesto disponible y el PAA, existen diferencias en las cifras, lo cual denota falta de coordinación entre las áreas que planean y ejecutan. Así mismo, en el manejo de los rubros antes mencionados, existen debilidades en la planeación, programación y ejecución del PAA, en razón a que, el presupuesto planeado y aprobado presenta diferencias considerables con respecto a lo ejecutado en su PAA.</t>
  </si>
  <si>
    <t>Imposibilidades en el informe de Vigencias Futuras</t>
  </si>
  <si>
    <t>Programación integral</t>
  </si>
  <si>
    <t>Hallazgo Administrativo con presunta incidencia disciplinaria por no iniciar a partir del 01/01/2021 con el mismo registro de las reservas constituidas al cierre de la vigencia 31/12/2020 y por presentar inconsistencias en la información reportada en el Acta de Fenecimiento pasivos exigibles No. 1, Rubro de Funcionamiento del 31 de diciembre de 2021</t>
  </si>
  <si>
    <t>Con Posible Incidencia Disciplinaria</t>
  </si>
  <si>
    <t>3.3.4.3</t>
  </si>
  <si>
    <t>Del análisis realizado a los pasivos exigibles, en la información allegada a través de la respuesta 2022EE017534O1 del 21/01/2022, se encontraron inconsistencias, contraviniendo lo estipulado en el instructivo para diligenciar el formato CB-0002 - PASIVOS EXIGIBLES AL CIERRE DE LA VIGENCIA, de la Contraloría de Bogotá D.C. que indica: “Pasivos exigibles al cierre de la vigencia debe contener la relación de los compromisos presupuestales suscritos en vigencias anteriores y que a diciembre 31 de la vigencia actual presentan saldo por ejecutar y/o pagar”. En razón, que no coinciden las cifras reportadas en el acta de fenecimiento No. 01 del 31/12/2021, con las auditadas,</t>
  </si>
  <si>
    <t>Incorrección en el informe de Ejecución de Obligaciones por pagar de la vigencia auditar</t>
  </si>
  <si>
    <t>Universalidad</t>
  </si>
  <si>
    <t>Hallazgo Administrativo con presunta incidencia disciplinaria por superar los porcentajes permitidos en la constitución de las reservas presupuestales a 31/12/2021.</t>
  </si>
  <si>
    <t xml:space="preserve">3.3.4.4 </t>
  </si>
  <si>
    <t>Verificada, la constitución de las reservas presupuestales de la SDH para las Unidades Ejecutoras 01 y 04, se evidenció que por Gastos de Funcionamiento suman $19.003.359.797 equivalente al 7,0% y por inversión $19,783,635,999 correspondiente al 37,13% del presupuesto definitivo de la vigencia 2021.</t>
  </si>
  <si>
    <t>Incorrección en el informe de Pasivos Exigibles</t>
  </si>
  <si>
    <t>Hallazgo Administrativo por aumento en la constitución de Cuentas por Pagar de las unidades ejecutoras 01, 02 y 04, a diciembre 31 de 2021.</t>
  </si>
  <si>
    <t xml:space="preserve">3.3.4.6 </t>
  </si>
  <si>
    <t>xxxxxx</t>
  </si>
  <si>
    <t>Incorrección en el informe de Vigencias Futuras</t>
  </si>
  <si>
    <t>Falta de soportes</t>
  </si>
  <si>
    <t>Coherencia Macroeconómica</t>
  </si>
  <si>
    <t>xcc</t>
  </si>
  <si>
    <t>Con Posible Incidencia Disciplinaria y Penal</t>
  </si>
  <si>
    <t>Incorrección en el informe de Ejecución de Cuentas por Pagar de la vigencia auditar</t>
  </si>
  <si>
    <t>Inconsistencia en los informes</t>
  </si>
  <si>
    <t>Con Posible Incidencia Penal</t>
  </si>
  <si>
    <t>Incorrección en el informe de Ejecución de Reservas Costituidas por pagar de la vigencia anterior</t>
  </si>
  <si>
    <t>Diferencias en registro</t>
  </si>
  <si>
    <t>Unidad de caja</t>
  </si>
  <si>
    <t>nnnn</t>
  </si>
  <si>
    <t>n</t>
  </si>
  <si>
    <t>Totales</t>
  </si>
  <si>
    <r>
      <rPr>
        <b/>
        <sz val="11"/>
        <color theme="1"/>
        <rFont val="Arial"/>
        <family val="2"/>
      </rPr>
      <t>Nota 1:</t>
    </r>
    <r>
      <rPr>
        <sz val="11"/>
        <color theme="1"/>
        <rFont val="Arial"/>
        <family val="2"/>
      </rPr>
      <t xml:space="preserve"> Insertar tantas filas con los desplegables acorde a los resultados de la auditoría</t>
    </r>
  </si>
  <si>
    <r>
      <t xml:space="preserve">Nota1: </t>
    </r>
    <r>
      <rPr>
        <sz val="11"/>
        <color theme="1"/>
        <rFont val="Arial"/>
        <family val="2"/>
      </rPr>
      <t xml:space="preserve">Deje en blanco las celdas de las cuentas o rubros presupuestales no auditados
</t>
    </r>
    <r>
      <rPr>
        <b/>
        <sz val="11"/>
        <color theme="1"/>
        <rFont val="Arial"/>
        <family val="2"/>
      </rPr>
      <t xml:space="preserve">Nota 2: </t>
    </r>
    <r>
      <rPr>
        <sz val="11"/>
        <color theme="1"/>
        <rFont val="Arial"/>
        <family val="2"/>
      </rPr>
      <t>En el valor de las inconsistencias de la cuenta principal de Gastos no incluya el correspondiente a las otras cuentas de gastos o aspectos auditados y registrados en este cuadro</t>
    </r>
  </si>
  <si>
    <t>INCORRECCIONES EVIDENCIADAS</t>
  </si>
  <si>
    <t>IMPOSIBILIDADES PRESENTADAS</t>
  </si>
  <si>
    <t>CALIFICACION POR INDICADORES Y HALLAZGOS POR PRINCIPIO</t>
  </si>
  <si>
    <t>Respecto al agregado por valor: Número de veces en que las incorrecciones de los Rubros sobrepasan el valor de la materialidad?</t>
  </si>
  <si>
    <t>Respecto al agregado por valor: Número de veces en que las imposibilidades de los Rubros sobrepasan el valor de la materialidad?</t>
  </si>
  <si>
    <t>CLASIFICACIÓN PRESUPUESTAL</t>
  </si>
  <si>
    <t>AFECTACIÓN DE HALLAZGOS</t>
  </si>
  <si>
    <t>RESULTADO
con Afectación de Hallazgos</t>
  </si>
  <si>
    <t>Número de INCORRECCIONES en función a la Materialidad
(En función al valor)</t>
  </si>
  <si>
    <t>Número de INCORRECCIONES en función a la Materialidad
(En %)</t>
  </si>
  <si>
    <t>Número de IMPOSIBILIDADES en función a la Materialidad
(En función al valor)</t>
  </si>
  <si>
    <t>Número de 
IMPOSIBILIDADES en función a la Materialidad
(En %)</t>
  </si>
  <si>
    <t>Número de INCORRECCIONES+
IMPOSIBILIDADES en función a la Materialidad
(En función al valor)</t>
  </si>
  <si>
    <t>Número de INCORRECCIONES+
IMPOSIBILIDADES en función a la Materialidad
(En %)</t>
  </si>
  <si>
    <t>Con Incidencia Fiscal</t>
  </si>
  <si>
    <t>Con Incidencia Fiscal y posible Disciplinaria</t>
  </si>
  <si>
    <t xml:space="preserve">TOTALES </t>
  </si>
  <si>
    <r>
      <t xml:space="preserve">Nota1: </t>
    </r>
    <r>
      <rPr>
        <sz val="11"/>
        <color theme="1"/>
        <rFont val="Arial"/>
        <family val="2"/>
      </rPr>
      <t>Seleccione de la columna "AFECTACIÓN DE HALLAZGOS" el tipo de hallazgo determinado en cada cuenta, rubro o aspecto presupuestal auditado o si no tuvo hallazgos, deje en blanco las celdas de las cuentas, rubros o aspectos presupuestales no aplicables o no auditados</t>
    </r>
    <r>
      <rPr>
        <b/>
        <sz val="11"/>
        <color theme="1"/>
        <rFont val="Arial"/>
        <family val="2"/>
      </rPr>
      <t xml:space="preserve">. </t>
    </r>
    <r>
      <rPr>
        <sz val="11"/>
        <color theme="1"/>
        <rFont val="Arial"/>
        <family val="2"/>
      </rPr>
      <t>Los demás cálculos son automáticos</t>
    </r>
  </si>
  <si>
    <t>CONSOLIDADO</t>
  </si>
  <si>
    <t>INDICE PREDOMINATE ENTRE INGRESOS Y GASTOS / NUMERO DE INCORRECCIONES + IMPOSIBILIDADES</t>
  </si>
  <si>
    <r>
      <rPr>
        <sz val="11"/>
        <color theme="1"/>
        <rFont val="Arial"/>
        <family val="2"/>
      </rPr>
      <t xml:space="preserve">LAS INCORRECCIONES + IMPOSIBILIDADES SON </t>
    </r>
    <r>
      <rPr>
        <b/>
        <sz val="11"/>
        <color theme="1"/>
        <rFont val="Arial"/>
        <family val="2"/>
      </rPr>
      <t>NO MATERIALES</t>
    </r>
  </si>
  <si>
    <r>
      <rPr>
        <sz val="11"/>
        <color theme="1"/>
        <rFont val="Arial"/>
        <family val="2"/>
      </rPr>
      <t>LAS INCORRECCIONES + IMPOSIBILIDADES SON</t>
    </r>
    <r>
      <rPr>
        <b/>
        <sz val="11"/>
        <color theme="1"/>
        <rFont val="Arial"/>
        <family val="2"/>
      </rPr>
      <t xml:space="preserve"> MATERIALES</t>
    </r>
  </si>
  <si>
    <r>
      <rPr>
        <sz val="11"/>
        <color theme="1"/>
        <rFont val="Arial"/>
        <family val="2"/>
      </rPr>
      <t>LAS INCORRECCIONES + IMPOSIBILIDADES SON</t>
    </r>
    <r>
      <rPr>
        <b/>
        <sz val="11"/>
        <color theme="1"/>
        <rFont val="Arial"/>
        <family val="2"/>
      </rPr>
      <t xml:space="preserve"> MATERIALES GENERALIZADAS</t>
    </r>
  </si>
  <si>
    <t>SI LAS INCORRECCIONES + LAS IMPOSIBILIDADES SON MATERIALES Y GENERALIZADAS, ESTABLECER CUALES SON PREDOMINANTES</t>
  </si>
  <si>
    <t>Sección Informativa que no requiere ningún diligenciamiento</t>
  </si>
  <si>
    <t>CONCEPTO CONSOLIDADO</t>
  </si>
  <si>
    <t>CALIFICACION CONSOLIDADA</t>
  </si>
  <si>
    <t>Puntaje asignado de acuerdo con la opinión.</t>
  </si>
  <si>
    <r>
      <t>NO MATERIAL</t>
    </r>
    <r>
      <rPr>
        <sz val="11"/>
        <color indexed="8"/>
        <rFont val="Arial"/>
        <family val="2"/>
      </rPr>
      <t xml:space="preserve"> 
Menores a 1 vez la materialidad establecida para el total de los Rubros del Ingreso o los Rubos de Gastos.</t>
    </r>
  </si>
  <si>
    <r>
      <t>NO MATERIAL</t>
    </r>
    <r>
      <rPr>
        <sz val="11"/>
        <color indexed="8"/>
        <rFont val="Arial"/>
        <family val="2"/>
      </rPr>
      <t xml:space="preserve"> 
Menores a 1 vez la materialidad establecida para del Los Rubros de Ingresos o los Rubros de Gastos.</t>
    </r>
  </si>
  <si>
    <r>
      <t>NO MATERIAL</t>
    </r>
    <r>
      <rPr>
        <sz val="11"/>
        <color indexed="8"/>
        <rFont val="Arial"/>
        <family val="2"/>
      </rPr>
      <t xml:space="preserve"> 
Menores a 1 vez la materialidad establecida para el total de LOS Rubros de Ingresos o los Rubros de Gastos.</t>
    </r>
  </si>
  <si>
    <r>
      <t xml:space="preserve">MATERIAL 
</t>
    </r>
    <r>
      <rPr>
        <sz val="11"/>
        <color indexed="8"/>
        <rFont val="Arial"/>
        <family val="2"/>
      </rPr>
      <t>Mayor a 1 Vez y menor a 5 veces la materialidad establecida para el total de los Rubros de Ingresos o de los Rubros de Gastos</t>
    </r>
  </si>
  <si>
    <r>
      <t xml:space="preserve">MATERIAL 
</t>
    </r>
    <r>
      <rPr>
        <sz val="11"/>
        <color indexed="8"/>
        <rFont val="Arial"/>
        <family val="2"/>
      </rPr>
      <t>Mayor a 1 Vez y menor a 5 veces la materialidad establecida para el total de los Rubros de Ingresos o de los Gastos</t>
    </r>
  </si>
  <si>
    <r>
      <t xml:space="preserve">MATERIAL 
</t>
    </r>
    <r>
      <rPr>
        <sz val="11"/>
        <color indexed="8"/>
        <rFont val="Arial"/>
        <family val="2"/>
      </rPr>
      <t>Mayor a 1 Vez y menor a 5 veces la materialidad establecida para el total de los Rubros de Ingresos o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</si>
  <si>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</si>
  <si>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los Rubros de Gastos</t>
    </r>
  </si>
  <si>
    <r>
      <rPr>
        <b/>
        <sz val="11"/>
        <color indexed="8"/>
        <rFont val="Arial"/>
        <family val="2"/>
      </rPr>
      <t>MATERIAL GENERALIZADA</t>
    </r>
    <r>
      <rPr>
        <sz val="11"/>
        <color indexed="8"/>
        <rFont val="Arial"/>
        <family val="2"/>
      </rPr>
      <t xml:space="preserve">
Mayor o Igual a 5 veces la materialidad establecida para el total de los Rubros de Ingresos o de Gastos</t>
    </r>
  </si>
  <si>
    <r>
      <rPr>
        <b/>
        <sz val="11"/>
        <color indexed="8"/>
        <rFont val="Arial"/>
        <family val="2"/>
      </rPr>
      <t xml:space="preserve">MATERIAL GENERALIZADA
</t>
    </r>
    <r>
      <rPr>
        <sz val="11"/>
        <color indexed="8"/>
        <rFont val="Arial"/>
        <family val="2"/>
      </rPr>
      <t>Mayor o igual a 5 veces la materilidad establecidad para el total de Los Rubros de Ingresos o los Rubros de Gastos, siempre y cuando el numero de veces de las imposibilidades supere el nuemero de veces de las incorrecciones incorrecciones.</t>
    </r>
  </si>
  <si>
    <t>Nombre</t>
  </si>
  <si>
    <t>Personal de Apoyo</t>
  </si>
  <si>
    <t>Observaciones del Líder</t>
  </si>
  <si>
    <t>% Materialidad con Concepto Vig Anterior</t>
  </si>
  <si>
    <t>% Materialidad sin Concepto Vig Anterior</t>
  </si>
  <si>
    <t>Tipo de Incorrección o Imposibilidad
(lista desplegable)</t>
  </si>
  <si>
    <r>
      <t xml:space="preserve">Clasificación presupuestal
</t>
    </r>
    <r>
      <rPr>
        <sz val="11"/>
        <color indexed="8"/>
        <rFont val="Arial"/>
        <family val="2"/>
      </rPr>
      <t>(lista desplegable)</t>
    </r>
  </si>
  <si>
    <r>
      <t xml:space="preserve">Origen o Causa
</t>
    </r>
    <r>
      <rPr>
        <sz val="11"/>
        <color indexed="8"/>
        <rFont val="Arial"/>
        <family val="2"/>
      </rPr>
      <t>(lista desplegable)</t>
    </r>
  </si>
  <si>
    <r>
      <t xml:space="preserve">Tipo de Hallazgo
</t>
    </r>
    <r>
      <rPr>
        <sz val="11"/>
        <color theme="1"/>
        <rFont val="Arial"/>
        <family val="2"/>
      </rPr>
      <t>(lista desplegable)</t>
    </r>
  </si>
  <si>
    <r>
      <t xml:space="preserve">Principios
</t>
    </r>
    <r>
      <rPr>
        <sz val="11"/>
        <color theme="1"/>
        <rFont val="Arial"/>
        <family val="2"/>
      </rPr>
      <t>(lista desplegable)</t>
    </r>
  </si>
  <si>
    <t>Afectación por Tipo de Hallazgo</t>
  </si>
  <si>
    <t>Entidades del sector central: Secretaria de Despacho, Secretaría Distrital de Hacienda; Unidades Administrativas,Departamentos Administrativos. Así como Establecimientos Públicos, Universidad Distrital Francisco José de Caldas, Fondos financiero de salud, y Fondos de Desarrollo local -FDL</t>
  </si>
  <si>
    <t>Entidades del sector descentralizado: Empresas Industriales y Comerciales, Empresas Sociales del Estado</t>
  </si>
  <si>
    <t>Falta de registros</t>
  </si>
  <si>
    <t>Sin Hallazgos</t>
  </si>
  <si>
    <t>CÓDIGO INGRESOS</t>
  </si>
  <si>
    <t>Imposibilidades en el informe de Ejecución de Cuentas por Pagar de la vigencia auditar</t>
  </si>
  <si>
    <t>O1</t>
  </si>
  <si>
    <t>X</t>
  </si>
  <si>
    <t>Incorrección en el informe de Ejecución de Cuentas por Pagar de la vigencia anterior</t>
  </si>
  <si>
    <t>O10</t>
  </si>
  <si>
    <t>DISPONIBILIDAD INICIAL</t>
  </si>
  <si>
    <t>PREDOMINA INCORRECCIONES</t>
  </si>
  <si>
    <t>Imposibilidades en el informe de Ejecución de Cuentas por Pagar de la vigencia anterior</t>
  </si>
  <si>
    <t>O1002</t>
  </si>
  <si>
    <t>Bancos</t>
  </si>
  <si>
    <t>Incorrección en el Informe de Ejecución de Gastos</t>
  </si>
  <si>
    <t xml:space="preserve">Falta de Controles </t>
  </si>
  <si>
    <t>O1003</t>
  </si>
  <si>
    <t>Inversiones Temporales</t>
  </si>
  <si>
    <t>PREDOMINA IMPOSIBILIDADES</t>
  </si>
  <si>
    <t>Especialización</t>
  </si>
  <si>
    <t>O11</t>
  </si>
  <si>
    <t>INGRESOS CORRIENTES</t>
  </si>
  <si>
    <t>Incorrección en el informe de Ejecución de Reservas Costituidas por pagar de la vigencia auditar</t>
  </si>
  <si>
    <t>Incumplimiento Normativos - Procedimientos</t>
  </si>
  <si>
    <t>O1101</t>
  </si>
  <si>
    <t>Tributarios</t>
  </si>
  <si>
    <t>Imposibilidades en el informe de Ejecución de Reservas Costituidas por pagar de la vigencia auditar</t>
  </si>
  <si>
    <t>Información no disponible</t>
  </si>
  <si>
    <t>Con Incidencia Fiscal y posible Penal</t>
  </si>
  <si>
    <t>Sostenibilidad y Estabilidad Fiscal</t>
  </si>
  <si>
    <t>O1102</t>
  </si>
  <si>
    <t>No Tributarios</t>
  </si>
  <si>
    <t>Información no verificable</t>
  </si>
  <si>
    <t>Con Incidencia Fiscal y posible Disciplinaria y Penal</t>
  </si>
  <si>
    <t>Inembargabilidad</t>
  </si>
  <si>
    <t>O12</t>
  </si>
  <si>
    <t>RECURSOS DE CAPITAL</t>
  </si>
  <si>
    <t>Imposibilidades en el informe de Ejecución de Obligaciones por pagar de la vigencia auditar</t>
  </si>
  <si>
    <t>Diferencias en cifras</t>
  </si>
  <si>
    <t>Autonomia presupuestal</t>
  </si>
  <si>
    <t>O1201</t>
  </si>
  <si>
    <t>Disposición de activos</t>
  </si>
  <si>
    <t>Bajo Recaudo</t>
  </si>
  <si>
    <t>Legalidad</t>
  </si>
  <si>
    <t>O1202</t>
  </si>
  <si>
    <t>Excedentes financieros</t>
  </si>
  <si>
    <t>Imposibilidades en el informe de Ejecución de Reservas Costituidas por pagar de la vigencia anterior</t>
  </si>
  <si>
    <t>Recaudo Inoportuno</t>
  </si>
  <si>
    <t>O1203</t>
  </si>
  <si>
    <t>Dividendos y utilidades por otras Inversiones de CAPITAL</t>
  </si>
  <si>
    <t>Incorrección en el informe de Ejecución de Obligaciones por pagar de la vigencia anterior</t>
  </si>
  <si>
    <t>Recaudo no programado</t>
  </si>
  <si>
    <t>O1205</t>
  </si>
  <si>
    <t>Rendimientos financieros</t>
  </si>
  <si>
    <t>Imposibilidades en el informe de Ejecución de Obligaciones por pagar de la vigencia anterior</t>
  </si>
  <si>
    <t>Registros en Rubro no pertinente</t>
  </si>
  <si>
    <t>O1206</t>
  </si>
  <si>
    <t>RECURSOS de crédito externo</t>
  </si>
  <si>
    <t>Inconsistencia de cantidad</t>
  </si>
  <si>
    <t>O1207</t>
  </si>
  <si>
    <t>RECURSOS de crédito interno</t>
  </si>
  <si>
    <t>Imposibilidades en el informe de Pasivos Exigibles</t>
  </si>
  <si>
    <t>Inconsistencia por clasificación</t>
  </si>
  <si>
    <t>O1208</t>
  </si>
  <si>
    <t>Transferencias de CAPITAL</t>
  </si>
  <si>
    <t>Incorrección en el Informe de Ejecución de GASTOS de Funcionamiento</t>
  </si>
  <si>
    <t>Baja Ejecución</t>
  </si>
  <si>
    <t>O1209</t>
  </si>
  <si>
    <t>Recuperación de cartera</t>
  </si>
  <si>
    <t>Imposibilidades en el Informe de Ejecución de GASTOS de Funcionamiento</t>
  </si>
  <si>
    <t>Incumplimiento en el Recaudo</t>
  </si>
  <si>
    <t>O1210</t>
  </si>
  <si>
    <t>RECURSOS del balance</t>
  </si>
  <si>
    <t>Incorrección en el Informe de Ejecución de Ingresos</t>
  </si>
  <si>
    <t>Inconsistencias en las cifras presupuestales</t>
  </si>
  <si>
    <t>O1211</t>
  </si>
  <si>
    <t>Diferencial cambiario</t>
  </si>
  <si>
    <t>Otros</t>
  </si>
  <si>
    <t>O1212</t>
  </si>
  <si>
    <t>Retiros FONPET</t>
  </si>
  <si>
    <t>O1213</t>
  </si>
  <si>
    <t>Reintegros y otros RECURSOS no apropiados</t>
  </si>
  <si>
    <t>O122</t>
  </si>
  <si>
    <t>Transferencias</t>
  </si>
  <si>
    <t>O12201</t>
  </si>
  <si>
    <t>Transferencias corrientes nacionales</t>
  </si>
  <si>
    <t>O12202</t>
  </si>
  <si>
    <t>Departamentales</t>
  </si>
  <si>
    <t>O12203</t>
  </si>
  <si>
    <t>Distritales</t>
  </si>
  <si>
    <t>O12204</t>
  </si>
  <si>
    <t>Otras Transferencias</t>
  </si>
  <si>
    <t>O15</t>
  </si>
  <si>
    <t>Transferencias Administración Central</t>
  </si>
  <si>
    <t>CÓDIGO GASTOS</t>
  </si>
  <si>
    <t>O2</t>
  </si>
  <si>
    <t>O21</t>
  </si>
  <si>
    <t>GASTOS DE FUNCIONAMIENTO</t>
  </si>
  <si>
    <t>O211</t>
  </si>
  <si>
    <t>Gasto de personal</t>
  </si>
  <si>
    <t>O21101</t>
  </si>
  <si>
    <t>Planta de Personal permanente</t>
  </si>
  <si>
    <t>O21102</t>
  </si>
  <si>
    <t>Personal supernumerario y Planta temporal</t>
  </si>
  <si>
    <t>No Aplica</t>
  </si>
  <si>
    <t>O212</t>
  </si>
  <si>
    <t>Adquisición bienes y servicios</t>
  </si>
  <si>
    <t>O21201</t>
  </si>
  <si>
    <t>Adquisición de activos no financieros</t>
  </si>
  <si>
    <t>O21202</t>
  </si>
  <si>
    <t>Adquisiciones diferentes de activos</t>
  </si>
  <si>
    <t>O213</t>
  </si>
  <si>
    <t>Transferencias CORRIENTES</t>
  </si>
  <si>
    <t>O21304</t>
  </si>
  <si>
    <t>A organizaciones nacionales</t>
  </si>
  <si>
    <t>O21305</t>
  </si>
  <si>
    <t>A entidades del gobierno</t>
  </si>
  <si>
    <t>O21314</t>
  </si>
  <si>
    <t>Aportes al FONPET</t>
  </si>
  <si>
    <t>O217</t>
  </si>
  <si>
    <t>Disminución de Pasivos</t>
  </si>
  <si>
    <t>O218</t>
  </si>
  <si>
    <t>O22</t>
  </si>
  <si>
    <t>SERVICIO DE LA DEUDA PÚBLICA</t>
  </si>
  <si>
    <t>O221</t>
  </si>
  <si>
    <t>Servicios de la deuda pública externa</t>
  </si>
  <si>
    <t>O22101</t>
  </si>
  <si>
    <t>Principal</t>
  </si>
  <si>
    <t>O22102</t>
  </si>
  <si>
    <t>Intereses</t>
  </si>
  <si>
    <t>O222</t>
  </si>
  <si>
    <t>Servicios de la deuda pública interna</t>
  </si>
  <si>
    <t>O22201</t>
  </si>
  <si>
    <t>O22202</t>
  </si>
  <si>
    <t>O22203</t>
  </si>
  <si>
    <t>Comisiones y otros GASTOS</t>
  </si>
  <si>
    <t>O23</t>
  </si>
  <si>
    <t>INVERSIÓN</t>
  </si>
  <si>
    <t>O2301</t>
  </si>
  <si>
    <t>Directa</t>
  </si>
  <si>
    <t>O233</t>
  </si>
  <si>
    <t>O23301</t>
  </si>
  <si>
    <t>Subvenciones</t>
  </si>
  <si>
    <t>O23302</t>
  </si>
  <si>
    <t>A empresas diferentes de subvenciones</t>
  </si>
  <si>
    <t>Pasivos Otros Distrito</t>
  </si>
  <si>
    <t>O23305</t>
  </si>
  <si>
    <t>Reservas de la vigencia anterior</t>
  </si>
  <si>
    <t>O23307</t>
  </si>
  <si>
    <t>Prestaciones para cubrir riesgos sociales</t>
  </si>
  <si>
    <t>Gastos comprometidos</t>
  </si>
  <si>
    <t>O23313</t>
  </si>
  <si>
    <t>Sentencias y conciliaciones</t>
  </si>
  <si>
    <t>Gastos Generales</t>
  </si>
  <si>
    <t>O234</t>
  </si>
  <si>
    <t>Transferencias para INVERSIÓN</t>
  </si>
  <si>
    <t>Gastos de Operación</t>
  </si>
  <si>
    <t>O23401</t>
  </si>
  <si>
    <t>Transferencia Distrital</t>
  </si>
  <si>
    <t>Gastos Diversos</t>
  </si>
  <si>
    <t>Otros Rubros Presupuestales</t>
  </si>
  <si>
    <t>O4</t>
  </si>
  <si>
    <t>DISPONIBILIDAD FINAL</t>
  </si>
  <si>
    <t>CÓDIGO OTROS GASTOS</t>
  </si>
  <si>
    <t>No Presenta</t>
  </si>
  <si>
    <t xml:space="preserve">500 - Fondo Distrital para la Gestión de Riesgos y Cambio Climático de Bogotá D.C. –FONDIGER </t>
  </si>
  <si>
    <t>INSTRUMENTO PARA LA CALIFICACIÓN DE LA GESTIÓN FISCAL</t>
  </si>
  <si>
    <t>AUDITORÍA FINANCIERA, DE GESTIÓN Y RESULTADOS</t>
  </si>
  <si>
    <t>PONDERACIÓN MACRO</t>
  </si>
  <si>
    <t>PONDERACIÓN PRO</t>
  </si>
  <si>
    <t>PRINCIPIOS DE LA GESTIÓN FISCAL</t>
  </si>
  <si>
    <t>ECONOMIA</t>
  </si>
  <si>
    <t>CONCEPTO  GESTIÓN DESEMPEÑO FINANCIERO</t>
  </si>
  <si>
    <t>TOTAL MACROPROCESO GESTIÓN FINANCIERA</t>
  </si>
  <si>
    <t>GESTIÓN PRESUPUESTAL Y RESULTADOS</t>
  </si>
  <si>
    <t>TOTAL PROCESO GESTIÓN PRESUPUESTAL</t>
  </si>
  <si>
    <t>GESTIÓN Y RESULTADOS</t>
  </si>
  <si>
    <t>TOTAL PONDERADO</t>
  </si>
  <si>
    <t>Calificación por Principio</t>
  </si>
  <si>
    <t>CONCEPTO DE GESTIÓN</t>
  </si>
  <si>
    <t>CONTROL FISCAL INTERNO</t>
  </si>
  <si>
    <t>CONCEPTO DE CALIDAD Y EFICIENCIA</t>
  </si>
  <si>
    <t>CONTROL INTERNO CONTABLE</t>
  </si>
  <si>
    <t>CALIFICACIÓN PLAN DE MEJORAMIENTO</t>
  </si>
  <si>
    <t xml:space="preserve">SUPERVISOR: </t>
  </si>
  <si>
    <t>Fecha de Revisión:</t>
  </si>
  <si>
    <t>PRINCIPIOS</t>
  </si>
  <si>
    <t>Eficacia</t>
  </si>
  <si>
    <t>Eficiencia</t>
  </si>
  <si>
    <t>Economía</t>
  </si>
  <si>
    <t>ESTRUCTURA</t>
  </si>
  <si>
    <t>PONDERACIÓN INICIAL</t>
  </si>
  <si>
    <t>CON DATOS EFICACIA</t>
  </si>
  <si>
    <t>CON DATOS EFICIENCIA</t>
  </si>
  <si>
    <t>Financiera</t>
  </si>
  <si>
    <t xml:space="preserve">PRINCIPIO </t>
  </si>
  <si>
    <t>Clientes/ Mercados y Negocios</t>
  </si>
  <si>
    <t>&gt;=75%</t>
  </si>
  <si>
    <t>Procesos Internos</t>
  </si>
  <si>
    <t>Innovación y aprendizaje</t>
  </si>
  <si>
    <t>RESULTADO POR PRINCIPIO</t>
  </si>
  <si>
    <t xml:space="preserve">La calificación otorgada debe ser incluida en escala de 0 a 100, siendo 0% la mínima calificación posible y 100% la máxima calificación posible. </t>
  </si>
  <si>
    <t xml:space="preserve">VALOR ANUAL PLAN ESTRATEGICO </t>
  </si>
  <si>
    <t>HOJA DE CALIFICACION</t>
  </si>
  <si>
    <t>ESTRUCTURA ESTRATEGICA</t>
  </si>
  <si>
    <t>OBJETIVO</t>
  </si>
  <si>
    <t>ESTRATEGIA/PROYECTO/UNIDAD DE NEGOCIO</t>
  </si>
  <si>
    <t>NOMBRE DEL INDICADOR</t>
  </si>
  <si>
    <t>FORMULA DEL INDICADOR</t>
  </si>
  <si>
    <t>LÍNEA BASE</t>
  </si>
  <si>
    <t>META PROGRAMADA</t>
  </si>
  <si>
    <t>META EJECUTADA</t>
  </si>
  <si>
    <t>NUMERAL HALLAZGO DEL INFORME</t>
  </si>
  <si>
    <t>VALOR DEL HALLAZGO DEL INFORME</t>
  </si>
  <si>
    <t>PRESUPUESTO DE INGRESOS</t>
  </si>
  <si>
    <t>COMPARATIVO VIGENCIAS</t>
  </si>
  <si>
    <t>ANÁLISIS VIGENCIA ACTUAL</t>
  </si>
  <si>
    <t xml:space="preserve">Valores en Pesos </t>
  </si>
  <si>
    <t>Rubro y/o cuenta presupuestal</t>
  </si>
  <si>
    <t>Presupuesto definitivo
Vigencia Anterior</t>
  </si>
  <si>
    <t>% Participación
Presupuesto definitivo
(vigencia anterior)</t>
  </si>
  <si>
    <t xml:space="preserve">Presupuesto definitivo Vigencia Actual </t>
  </si>
  <si>
    <t>% Participación
Presupuesto definitivo
(vigencia actual)</t>
  </si>
  <si>
    <t>Variación 
 absoluta</t>
  </si>
  <si>
    <t>% variación</t>
  </si>
  <si>
    <t>Explicación variación y participación</t>
  </si>
  <si>
    <t>Presupuesto Inicial a Auditar</t>
  </si>
  <si>
    <t>Modificaciones</t>
  </si>
  <si>
    <t>Presupuesto Definitivo
Vigencia a Auditar</t>
  </si>
  <si>
    <t>Recaudo acumulado vigencia actual</t>
  </si>
  <si>
    <t>% Recaudo acumulado vigencia actual</t>
  </si>
  <si>
    <t>Muestra</t>
  </si>
  <si>
    <t>Observaciones</t>
  </si>
  <si>
    <t>Menos</t>
  </si>
  <si>
    <t>Más</t>
  </si>
  <si>
    <t>PRESUPUESTO DE GASTOS</t>
  </si>
  <si>
    <t xml:space="preserve">Presupuesto vigente
(vigencia anterior) </t>
  </si>
  <si>
    <t>% Participación Presupuesto vigente
(vigencia anterior)</t>
  </si>
  <si>
    <t>Presupuesto vigente 
(vigencia actual)</t>
  </si>
  <si>
    <t>% Participación Presupuesto vigente 
(vigencia actual)</t>
  </si>
  <si>
    <t>Presupuesto vigente
(vigencia a auditar)</t>
  </si>
  <si>
    <t>Compromisos acumulados vigencia actual</t>
  </si>
  <si>
    <t>% Compromisos acumulados vigencia actual</t>
  </si>
  <si>
    <t>Giros acumulados vigencia actual</t>
  </si>
  <si>
    <t>% Giros acumulados vigencia actual</t>
  </si>
  <si>
    <t>Observaciones 
(Especialmente a compromisos y giros, entre otras)</t>
  </si>
  <si>
    <t>PRESUPUESTO DE GASTOS – RESERVAS / OBLIGACIONES POR PAGAR / CUENTAS POR PAGAR / PASIVOS EXIGIBLES / VIGENCIAS FUTURAS</t>
  </si>
  <si>
    <r>
      <t xml:space="preserve">CÓDIGO
</t>
    </r>
    <r>
      <rPr>
        <sz val="11"/>
        <color theme="0"/>
        <rFont val="Arial"/>
        <family val="2"/>
      </rPr>
      <t>(Si lo hay)</t>
    </r>
  </si>
  <si>
    <t>Aspecto</t>
  </si>
  <si>
    <t xml:space="preserve">Diligenciar de conformidad con el nivel de desagregación que el auditor considere y de acuerdo con el alcance del Plan de Trabajo. Se recomienda escoger aquello(a)s de mayor riesgo sobre los cuales se deberá focalizar la auditoría, incluyendo como mínimo las cuentas agregadas consideradas como Base de Análisis (Ingresos, Gastos/Costos y Gastos, Reservas, Obligaciones y/o Cuentas por Pagar). </t>
  </si>
  <si>
    <t>Aquellos seleccionados en la planeación con mayor riesgo, que focalizarán la auditoria. Por ejemplo aquellos rubros con baja ejecución y giros acumulados, que estén por debajo del 75%.Los cálculos automáticos para el análisis el auditor sobre los agregados y para aquellas cuentas que encuentre con alto riesgo, suceptibles de incluir en la muestra.</t>
  </si>
  <si>
    <r>
      <rPr>
        <b/>
        <sz val="11"/>
        <color theme="1"/>
        <rFont val="Arial"/>
        <family val="2"/>
      </rPr>
      <t xml:space="preserve">Nota 1: </t>
    </r>
    <r>
      <rPr>
        <sz val="11"/>
        <color theme="1"/>
        <rFont val="Arial"/>
        <family val="2"/>
      </rPr>
      <t>Con el diligenciamiento de este instrumento se pretende establecer el universo de los rubros y/o cuentas presupuestales a tener en cuenta del Sujeto de Control con corte a diciembre 31 de la vigencia a auditar y de esta forma establecer su participación % y principales variaciones con respecto a diciembre 31 del año anterior.</t>
    </r>
  </si>
  <si>
    <r>
      <rPr>
        <b/>
        <sz val="11"/>
        <color theme="1"/>
        <rFont val="Arial"/>
        <family val="2"/>
      </rPr>
      <t>Nota 2:</t>
    </r>
    <r>
      <rPr>
        <sz val="11"/>
        <color theme="1"/>
        <rFont val="Arial"/>
        <family val="2"/>
      </rPr>
      <t xml:space="preserve"> A partir de lo anterior, con el fin de focalizar la Muestra a Seleccionar, se dará aplicación a los criterios establecidos para seleccionar la muestra según los procedimientos establecidos.</t>
    </r>
  </si>
  <si>
    <r>
      <rPr>
        <b/>
        <sz val="11"/>
        <color theme="1"/>
        <rFont val="Arial"/>
        <family val="2"/>
      </rPr>
      <t>Nota 3:</t>
    </r>
    <r>
      <rPr>
        <sz val="11"/>
        <color theme="1"/>
        <rFont val="Arial"/>
        <family val="2"/>
      </rPr>
      <t xml:space="preserve"> Se deberan considerar dentro de los criterios base para la selección de la muestra, los resultados de la aplicación del PVCGF-15-11 Matriz de Riesgos y Controles.</t>
    </r>
  </si>
  <si>
    <r>
      <rPr>
        <b/>
        <sz val="11"/>
        <color theme="1"/>
        <rFont val="Arial"/>
        <family val="2"/>
      </rPr>
      <t>Nota 4</t>
    </r>
    <r>
      <rPr>
        <sz val="11"/>
        <color theme="1"/>
        <rFont val="Arial"/>
        <family val="2"/>
      </rPr>
      <t>: Se pueden agregar filas debajo de la primera y antes de la última fila de cada grupo de Ingresos o Gastos; para efectos de no alterar la formulación</t>
    </r>
  </si>
  <si>
    <t>PLANES Y PROYECTOS</t>
  </si>
  <si>
    <t>GASTO PÚBLICO</t>
  </si>
  <si>
    <t>CC</t>
  </si>
  <si>
    <t>Concepto gestión presupuestal</t>
  </si>
  <si>
    <t xml:space="preserve">Concepto gestión y resultados </t>
  </si>
  <si>
    <t>Concepto consolidado de Gestión Presupuestal y Resultados</t>
  </si>
  <si>
    <t>Concepto consolidado de Gestión Financiera</t>
  </si>
  <si>
    <t>Fenecimiento</t>
  </si>
  <si>
    <t>No Razonable</t>
  </si>
  <si>
    <t>NO FENECE</t>
  </si>
  <si>
    <t>No razonable</t>
  </si>
  <si>
    <t>FENECE</t>
  </si>
  <si>
    <t>Limpio o Sin Salvedades</t>
  </si>
  <si>
    <t>Concepto gestión Estados Financieros</t>
  </si>
  <si>
    <t>Concepto gestión Desempeño Financiero</t>
  </si>
  <si>
    <t>PROCESO GESTIÓN PRESUPUESTAL</t>
  </si>
  <si>
    <t>CONCEPTO DE RESULTADOS DE PLAN ESTRATEGICO</t>
  </si>
  <si>
    <t>RAZONABLE</t>
  </si>
  <si>
    <t>NO RAZONABLE</t>
  </si>
  <si>
    <t>Favorable</t>
  </si>
  <si>
    <t>Con Observaciones</t>
  </si>
  <si>
    <t>Desfavorable</t>
  </si>
  <si>
    <t>Concepto Planes y Proyectos</t>
  </si>
  <si>
    <t>Concepto Gasto Público</t>
  </si>
  <si>
    <t>Concepto consolidado de Gestión y Resultados</t>
  </si>
  <si>
    <t>CONCEPTO  PLANES Y PROYECTOS</t>
  </si>
  <si>
    <t>TOTAL PROCESO GESTIÓN Y RESULTADOS</t>
  </si>
  <si>
    <r>
      <t xml:space="preserve">Ejecución presupuestal de </t>
    </r>
    <r>
      <rPr>
        <b/>
        <u/>
        <sz val="12"/>
        <color theme="1"/>
        <rFont val="Calibri"/>
        <family val="2"/>
        <scheme val="minor"/>
      </rPr>
      <t>INGRESOS</t>
    </r>
  </si>
  <si>
    <r>
      <t xml:space="preserve">Ejecución presupuestal de </t>
    </r>
    <r>
      <rPr>
        <b/>
        <u/>
        <sz val="12"/>
        <color theme="1"/>
        <rFont val="Calibri"/>
        <family val="2"/>
        <scheme val="minor"/>
      </rPr>
      <t>GASTOS</t>
    </r>
  </si>
  <si>
    <r>
      <rPr>
        <b/>
        <sz val="11"/>
        <color theme="1"/>
        <rFont val="Arial"/>
        <family val="2"/>
      </rPr>
      <t>HALLAZGOS PARA CONCEPTO PRESUPUESTAL
INSTRUCCIONES:</t>
    </r>
    <r>
      <rPr>
        <sz val="11"/>
        <color theme="1"/>
        <rFont val="Arial"/>
        <family val="2"/>
      </rPr>
      <t xml:space="preserve">
</t>
    </r>
    <r>
      <rPr>
        <b/>
        <sz val="11"/>
        <color theme="1"/>
        <rFont val="Arial"/>
        <family val="2"/>
      </rPr>
      <t xml:space="preserve">Columna Condición o Situación encontrada: </t>
    </r>
    <r>
      <rPr>
        <sz val="11"/>
        <color theme="1"/>
        <rFont val="Arial"/>
        <family val="2"/>
      </rPr>
      <t xml:space="preserve">En esta sección el auditor debe describir brevemente la condición o situación encontrada relacionada con la cuenta, rubro o aspecto evaluado en el que se identificó la inconsistencia o deficiencia de control.
</t>
    </r>
    <r>
      <rPr>
        <b/>
        <sz val="11"/>
        <color theme="1"/>
        <rFont val="Arial"/>
        <family val="2"/>
      </rPr>
      <t xml:space="preserve">Columna Tipo de Incorrección o Imposibilidad: </t>
    </r>
    <r>
      <rPr>
        <sz val="11"/>
        <color theme="1"/>
        <rFont val="Arial"/>
        <family val="2"/>
      </rPr>
      <t>En esta sección el auditor debe seleccionar el tipo de incorrección o imposibilidad, de acuerdo con rubro presupuestal en el que se identificó la inconsistencia o deficiencia.</t>
    </r>
    <r>
      <rPr>
        <b/>
        <sz val="11"/>
        <color theme="1"/>
        <rFont val="Arial"/>
        <family val="2"/>
      </rPr>
      <t xml:space="preserve">
Columna Clasificación presupuestal:</t>
    </r>
    <r>
      <rPr>
        <sz val="11"/>
        <color theme="1"/>
        <rFont val="Arial"/>
        <family val="2"/>
      </rPr>
      <t xml:space="preserve"> Seleccionar la fila del rubro presupuestal agregado al cual pertenece la subcuenta en la que se identificó el hallazgo.
</t>
    </r>
    <r>
      <rPr>
        <b/>
        <sz val="11"/>
        <color theme="1"/>
        <rFont val="Arial"/>
        <family val="2"/>
      </rPr>
      <t>Columna Rubro o Aspecto Presupuestal:</t>
    </r>
    <r>
      <rPr>
        <sz val="11"/>
        <color theme="1"/>
        <rFont val="Arial"/>
        <family val="2"/>
      </rPr>
      <t xml:space="preserve"> Según el tipo de hallazgo y el rubro presupuestal, en la columna D, se registrará el rubro o cuenta presupuestal concreta por dónde se detectó el hallazgo.
</t>
    </r>
    <r>
      <rPr>
        <b/>
        <sz val="11"/>
        <color theme="1"/>
        <rFont val="Arial"/>
        <family val="2"/>
      </rPr>
      <t>Columna Origen o Causa:</t>
    </r>
    <r>
      <rPr>
        <sz val="11"/>
        <color theme="1"/>
        <rFont val="Arial"/>
        <family val="2"/>
      </rPr>
      <t xml:space="preserve"> De la lista desplegable seleccionar la situación que corresponda, según el origen del hallazgo.
</t>
    </r>
    <r>
      <rPr>
        <b/>
        <sz val="11"/>
        <color theme="1"/>
        <rFont val="Arial"/>
        <family val="2"/>
      </rPr>
      <t>Columna Principio Presupuestal afectado:</t>
    </r>
    <r>
      <rPr>
        <sz val="11"/>
        <color theme="1"/>
        <rFont val="Arial"/>
        <family val="2"/>
      </rPr>
      <t xml:space="preserve"> Seleccione del desplegable, el principio presupuestal afectado con el hallazgo presentado.
</t>
    </r>
    <r>
      <rPr>
        <b/>
        <sz val="11"/>
        <color theme="1"/>
        <rFont val="Arial"/>
        <family val="2"/>
      </rPr>
      <t>Columna Valor de la Incorrección o Imposibilidad:</t>
    </r>
    <r>
      <rPr>
        <sz val="11"/>
        <color theme="1"/>
        <rFont val="Arial"/>
        <family val="2"/>
      </rPr>
      <t xml:space="preserve"> En esta sección el auditor debe escribir el valor en pesos de la inconsistencia, en el evento de ser cuantificable, o que se haya cuantificado en el hallazgo.
</t>
    </r>
    <r>
      <rPr>
        <b/>
        <sz val="11"/>
        <color theme="1"/>
        <rFont val="Arial"/>
        <family val="2"/>
      </rPr>
      <t xml:space="preserve">Columna Porcentaje (% ) de hallazgo o salvedad respecto a la cuenta presupuestal: </t>
    </r>
    <r>
      <rPr>
        <sz val="11"/>
        <color theme="1"/>
        <rFont val="Arial"/>
        <family val="2"/>
      </rPr>
      <t xml:space="preserve">En esta sección el auditor debe consignar, el porcentaje del valor del hallazgo respecto del valor ejecutado de la cuenta presupuestal, cuando aplique.
</t>
    </r>
    <r>
      <rPr>
        <b/>
        <sz val="11"/>
        <color theme="1"/>
        <rFont val="Arial"/>
        <family val="2"/>
      </rPr>
      <t xml:space="preserve">Columna Resumen de la Observación o Hallazgo: </t>
    </r>
    <r>
      <rPr>
        <sz val="11"/>
        <color theme="1"/>
        <rFont val="Arial"/>
        <family val="2"/>
      </rPr>
      <t xml:space="preserve">En esta sección el auditor debe describir, una síntesis de la esencia del hallazgo.
</t>
    </r>
    <r>
      <rPr>
        <b/>
        <sz val="11"/>
        <color theme="1"/>
        <rFont val="Arial"/>
        <family val="2"/>
      </rPr>
      <t>Columna Efecto en caso de incorrección o posible efecto en caso de imposibilidad :</t>
    </r>
    <r>
      <rPr>
        <sz val="11"/>
        <color theme="1"/>
        <rFont val="Arial"/>
        <family val="2"/>
      </rPr>
      <t xml:space="preserve"> En esta sección el auditor debe escribir, el efecto o consecuencia que genera el   hallazgo.
</t>
    </r>
    <r>
      <rPr>
        <b/>
        <sz val="11"/>
        <color theme="1"/>
        <rFont val="Arial"/>
        <family val="2"/>
      </rPr>
      <t>Columna Presunta incidencia:</t>
    </r>
    <r>
      <rPr>
        <sz val="11"/>
        <color theme="1"/>
        <rFont val="Arial"/>
        <family val="2"/>
      </rPr>
      <t xml:space="preserve"> En esta sección el auditor debe seleccionar del desplegable, la(s) presuntas incidencias del hallazgo (fiscal, penal o disciplinaria).
</t>
    </r>
    <r>
      <rPr>
        <b/>
        <sz val="11"/>
        <color theme="1"/>
        <rFont val="Arial"/>
        <family val="2"/>
      </rPr>
      <t xml:space="preserve">Columna Numeral del hallazgo(s) en Informe Final: </t>
    </r>
    <r>
      <rPr>
        <sz val="11"/>
        <color theme="1"/>
        <rFont val="Arial"/>
        <family val="2"/>
      </rPr>
      <t xml:space="preserve">Registrar el numeral con el que se identifiquen los hallazgos que se determinen en la auditoría y que estén relacionados con la cuenta o rubro presupuestal auditado
</t>
    </r>
    <r>
      <rPr>
        <b/>
        <sz val="11"/>
        <color theme="1"/>
        <rFont val="Arial"/>
        <family val="2"/>
      </rPr>
      <t xml:space="preserve">Columna Referencia P/T: </t>
    </r>
    <r>
      <rPr>
        <sz val="11"/>
        <color theme="1"/>
        <rFont val="Arial"/>
        <family val="2"/>
      </rPr>
      <t xml:space="preserve">En esta sección el auditor debe escribir la referenciación del papel de trabajo donde aparezcan los detalles y el análisis del hallazgo, realizados por el auditor. 
</t>
    </r>
  </si>
  <si>
    <t>TIPOS DE CONCEPTOS, SUS PARAMETROS, CALIFICACIÓN Y CONCEPTO DEL PRINCIPIO EVALUADO</t>
  </si>
  <si>
    <t>CONCEPTOS</t>
  </si>
  <si>
    <t>INDICADORES A PARTIR DE INFORMES DE EJECUCIÓN PRESUPUESTAL PARA CONCEPTO PRESUPUESTAL</t>
  </si>
  <si>
    <t>HALLAZGOS PARA CONCEPTO PRESUPUESTAL</t>
  </si>
  <si>
    <t xml:space="preserve">RESERVAS PRESUPUESTALES CONSTITUIDAS </t>
  </si>
  <si>
    <t>Incorrección en el Informe de Ejecución de Gastos de Comercialización y Producción</t>
  </si>
  <si>
    <t>Imposibilidades en el Informe de Ejecución de Gastos  de Comercialización y Producción</t>
  </si>
  <si>
    <t>Materiales y suministros</t>
  </si>
  <si>
    <t>AUDITORIA FINANCIERA DE GESTIÓN Y RESULTADOS</t>
  </si>
  <si>
    <t>Si</t>
  </si>
  <si>
    <t>No</t>
  </si>
  <si>
    <t>Informe de Ejecución de Ingresos</t>
  </si>
  <si>
    <t>Informe de Ejecución de Gastos / Costos y Gastos</t>
  </si>
  <si>
    <t>EJECUCIÓN DE GASTOS</t>
  </si>
  <si>
    <t>No.</t>
  </si>
  <si>
    <t>O2 GASTOS</t>
  </si>
  <si>
    <t>Ejecución de Ingresos</t>
  </si>
  <si>
    <t>Ejecución de Gastos / Costos y Gastos</t>
  </si>
  <si>
    <t>Concepto consolidado Presupuestal</t>
  </si>
  <si>
    <t>Tipo de meta</t>
  </si>
  <si>
    <t>Resultado %</t>
  </si>
  <si>
    <t>POAI (Plan Operativo Anual de Inversiones)</t>
  </si>
  <si>
    <t>CALIFICACIÓN:</t>
  </si>
  <si>
    <t>Calificación POAI</t>
  </si>
  <si>
    <t>Calificación Ejecución</t>
  </si>
  <si>
    <t>Calificación Tiempos</t>
  </si>
  <si>
    <t>Calificación Giros</t>
  </si>
  <si>
    <t>PRINCIPIO:</t>
  </si>
  <si>
    <t>CONCEPTO:</t>
  </si>
  <si>
    <t>Proyectos Ambientales</t>
  </si>
  <si>
    <t>Calificación Proyectos Ambientales:</t>
  </si>
  <si>
    <t>Principio:</t>
  </si>
  <si>
    <t>Tipo de Meta</t>
  </si>
  <si>
    <t>EFICACIA %</t>
  </si>
  <si>
    <t>EFICIENCIA %</t>
  </si>
  <si>
    <t>Calificación:</t>
  </si>
  <si>
    <t>Concepto:</t>
  </si>
  <si>
    <t>POAI</t>
  </si>
  <si>
    <t>Tiempos</t>
  </si>
  <si>
    <t>Ejecución</t>
  </si>
  <si>
    <t>Giros</t>
  </si>
  <si>
    <t>Proyectos Ambientales:</t>
  </si>
  <si>
    <t>Suma</t>
  </si>
  <si>
    <t>Constante</t>
  </si>
  <si>
    <t>Creciente</t>
  </si>
  <si>
    <t>Decreciente</t>
  </si>
  <si>
    <t>Decreciente Anual</t>
  </si>
  <si>
    <t>CALIFICACIÓN PROCESO PLANES Y PROYECTOS</t>
  </si>
  <si>
    <t>TABLA DE CALIFICACION DEL PROCESO PLAN ESTRATÉGICO</t>
  </si>
  <si>
    <t>JUSTIFICACIÓN PARA SELECCIONAR  EL PORCENTAJE</t>
  </si>
  <si>
    <t>PDVCF:</t>
  </si>
  <si>
    <t>PDVCF</t>
  </si>
  <si>
    <t>Vigencia PDVCF:</t>
  </si>
  <si>
    <t>Periodo PDVCF:</t>
  </si>
  <si>
    <t>Código formato: PVCGF-04-09
Versión: 2.0</t>
  </si>
  <si>
    <t>Instrumento para la calificación de la gestión fiscal
Materialidad presupuetal</t>
  </si>
  <si>
    <t>Instrumento para la calificación de la gestión fiscal
Procesos presupuesto de ingresos y de gastos o costos y gastos
Indicadores y hallazgos para concepto de la gestión presupuestal</t>
  </si>
  <si>
    <t>Instrumento para la calificación de la gestión fiscal
Planes y Proyectos</t>
  </si>
  <si>
    <t>Código formato: PVCGF-04-09</t>
  </si>
  <si>
    <t>Versión: 2.0</t>
  </si>
  <si>
    <t>Instrumento para la calificación de la gestión fiscal
Procesos presupuesto de ingresos y de gastos o costos y gastos
Prueba Analítica</t>
  </si>
  <si>
    <t>Instrumento para la calificación de la gestión fiscal
Proceso Desempeño Financiero
Análisis de Hallazgo para Concepto de Desempeño Financiero</t>
  </si>
  <si>
    <t>Instrumento para la calificación de la gestión fiscal
Materialidad Proceso Estados Financieros 
Análisis Hallazgos para Opinión</t>
  </si>
  <si>
    <t xml:space="preserve">Instrumento para la calificación de la gestión fiscal
Materialidad Proceso Estados Financieros </t>
  </si>
  <si>
    <t>Código formato
PVCGF-04-09</t>
  </si>
  <si>
    <t>Instrumento para la calificación de la gestión fiscal
Analítica Estado de Resultados - Proceso Estados Financieros 
Prueba Analítica</t>
  </si>
  <si>
    <t>Instrumento para la calificación de la gestión fiscal
Materialidad Proceso Estados Financieros 
Prueba Analítica</t>
  </si>
  <si>
    <t>Código formato:
PVCGF-04-09</t>
  </si>
  <si>
    <r>
      <rPr>
        <b/>
        <sz val="11"/>
        <color rgb="FFFF0000"/>
        <rFont val="Calibri"/>
        <family val="2"/>
        <scheme val="minor"/>
      </rPr>
      <t xml:space="preserve">Notas aclaratorias: </t>
    </r>
    <r>
      <rPr>
        <b/>
        <sz val="11"/>
        <rFont val="Calibri"/>
        <family val="2"/>
        <scheme val="minor"/>
      </rPr>
      <t xml:space="preserve">
1. En caso de que al Sujeto de Control Fiscal no se le haya practicado Auditoría Regular (AR) o Financiera Gestión y Resultados (AFGR) en el año inmediatamente anterior, se debe tomar la información de la última vigencia auditada.
2. Si al Sujeto de Control nunca se le ha efectuado auditoría (AR o AFGR) alguna, entonces seleccione la frase: “No Hay" de la lista desplegable.
3. En lo que respecta al Concepto Auditoría y a la Calificación Control Interno auditoría anterior, así como el Diseño del Control y Riesgo Residual de la auditoría actual estos hace referencia únicamente al Proceso Presupuestal.
</t>
    </r>
  </si>
  <si>
    <t>No Hay</t>
  </si>
  <si>
    <t>RESULTADOS AUDITORIA VIGENCIA ANTERIOR</t>
  </si>
  <si>
    <t>DATOS VIGENCIA AUDITORIA ACTUAL</t>
  </si>
  <si>
    <r>
      <t xml:space="preserve">Notas aclaratorias: 
</t>
    </r>
    <r>
      <rPr>
        <b/>
        <sz val="11"/>
        <color rgb="FFFF0000"/>
        <rFont val="Arial"/>
        <family val="2"/>
      </rPr>
      <t xml:space="preserve">1. En caso de que al Sujeto de Control Fiscal no se le haya practicado Auditoría Regular (AR) o Financiera Gestión y Resultados (AFGR) en el año inmediatamente anterior, se debe tomar la información de la última </t>
    </r>
    <r>
      <rPr>
        <b/>
        <u/>
        <sz val="11"/>
        <color rgb="FFFF0000"/>
        <rFont val="Arial"/>
        <family val="2"/>
      </rPr>
      <t>vigencia</t>
    </r>
    <r>
      <rPr>
        <b/>
        <sz val="11"/>
        <color rgb="FFFF0000"/>
        <rFont val="Arial"/>
        <family val="2"/>
      </rPr>
      <t xml:space="preserve"> auditada.
2. Si al Sujeto de Control nunca se le ha efectuado auditoría (AR o AFGR) alguna, entonces seleccione la frase: “</t>
    </r>
    <r>
      <rPr>
        <b/>
        <i/>
        <sz val="11"/>
        <color rgb="FFFF0000"/>
        <rFont val="Arial"/>
        <family val="2"/>
      </rPr>
      <t>No Hay</t>
    </r>
    <r>
      <rPr>
        <b/>
        <sz val="11"/>
        <color rgb="FFFF0000"/>
        <rFont val="Arial"/>
        <family val="2"/>
      </rPr>
      <t>" de la lista desplegable.</t>
    </r>
    <r>
      <rPr>
        <b/>
        <sz val="11"/>
        <rFont val="Arial"/>
        <family val="2"/>
      </rPr>
      <t xml:space="preserve">
</t>
    </r>
  </si>
  <si>
    <t>Calificación Control Interno Contable - Proceso Estados Financieros auditoría anterior</t>
  </si>
  <si>
    <t>Riesgo Residual o Combinado - Proceso Estados Financieros auditoría actual</t>
  </si>
  <si>
    <t>NIVEL 1 
Entre 1 y 7 Puntos</t>
  </si>
  <si>
    <t>AYUDAS DE ANTECEDENTES PARA SELECCIONAR UN PORCENTAJE</t>
  </si>
  <si>
    <t>CALIFICACIÓN POR PROCESO/
MACROPROCESO</t>
  </si>
  <si>
    <t>OPINION ESTADOS FINANCIEROS</t>
  </si>
  <si>
    <t>CONCEPTO  GESTIÓN GASTO PÚBLICO</t>
  </si>
  <si>
    <t>CONCEPTO PRESUPUESTAL DE GASTOS/COSTOS Y GASTOS</t>
  </si>
  <si>
    <t>CONCEPTO PRESUPUESTAL DE INGRESOS</t>
  </si>
  <si>
    <t>CONCEPTO GESTIÓN PRESUPUESTAL (CONSOLIDADA)</t>
  </si>
  <si>
    <t>CONCEPTO GESTIÓN Y RESULTADOS (CONSOLIDADA)</t>
  </si>
  <si>
    <t>TOTAL MACROPROCESO GESTIÓN PRESUPUESTAL Y RESULTADOS</t>
  </si>
  <si>
    <t>Base 100%</t>
  </si>
  <si>
    <t>Resultado</t>
  </si>
  <si>
    <t>INEXISTENTE</t>
  </si>
  <si>
    <t>0,01% - 24,99%</t>
  </si>
  <si>
    <t>INEFICIENTE</t>
  </si>
  <si>
    <t>25% - 49,99%</t>
  </si>
  <si>
    <t>50% - 74,99%</t>
  </si>
  <si>
    <t>CON DEFICIENCIAS</t>
  </si>
  <si>
    <t>75% - 100%</t>
  </si>
  <si>
    <t>EFICIENTE</t>
  </si>
  <si>
    <t>Calificacion_eficiencia</t>
  </si>
  <si>
    <t>Mínimo</t>
  </si>
  <si>
    <t>Máximo</t>
  </si>
  <si>
    <t>Cuando no existen controles</t>
  </si>
  <si>
    <t>Cuando no existe por lo menos un control</t>
  </si>
  <si>
    <t>Cuando la calificación sea mayor que 1 y menor a 2</t>
  </si>
  <si>
    <t>Cuando la calificación sea mayor que 2 y menor o igual que 2,5</t>
  </si>
  <si>
    <t>Cuando la calificación mayor que 2,5</t>
  </si>
  <si>
    <t xml:space="preserve">
OPINION/CONCEPTOS</t>
  </si>
  <si>
    <t>CONCEPTO DE EFICACIA Y EFECTIVIDAD</t>
  </si>
  <si>
    <t>PLAN DE MEJORAMIENTO</t>
  </si>
  <si>
    <t>MONTO TOTAL UNIDAD DE ANÁLISIS</t>
  </si>
  <si>
    <t>RIESGO DE CONTROL FISCAL DETECTADO</t>
  </si>
  <si>
    <t>TAMAÑO MÍNIMO DE LA MUESTRA</t>
  </si>
  <si>
    <t>CUMPLE LA MUESTRA</t>
  </si>
  <si>
    <t xml:space="preserve">VALOR PAGADO </t>
  </si>
  <si>
    <t>VALOR SUSCRITO</t>
  </si>
  <si>
    <t>VALOR PAGADO</t>
  </si>
  <si>
    <t>% PARTICIPACIÓN</t>
  </si>
  <si>
    <t xml:space="preserve">VALOR AUDITADO </t>
  </si>
  <si>
    <t xml:space="preserve">CUANTÍA DEL HALLAZGO FISCAL </t>
  </si>
  <si>
    <t>Fiducia 1</t>
  </si>
  <si>
    <t>Fiducia 12</t>
  </si>
  <si>
    <t>Del 01-12-2022 al 19-08-2024</t>
  </si>
  <si>
    <t>jkjdkfjkfjkdjjfkj</t>
  </si>
  <si>
    <t>kkkk</t>
  </si>
  <si>
    <t>jjj</t>
  </si>
  <si>
    <t>kkk</t>
  </si>
  <si>
    <r>
      <t xml:space="preserve">MATERIALIDAD </t>
    </r>
    <r>
      <rPr>
        <b/>
        <sz val="12"/>
        <color indexed="8"/>
        <rFont val="Arial"/>
        <family val="2"/>
      </rPr>
      <t>PARA CONCEPTO GASTO PÚBLICO</t>
    </r>
  </si>
  <si>
    <t>Presupuesto POAI para la vigencia</t>
  </si>
  <si>
    <t>Presupuesto Disponible</t>
  </si>
  <si>
    <t>Instrumento para la calificación de la gestión fiscal
Proceso de Gasto Público
Pruebas Analíticas</t>
  </si>
  <si>
    <t>Código formato: PVCGF-04-09    
                                                    Versión: 2.0</t>
  </si>
  <si>
    <t>Instrumento para la calificación de la gestión fiscal
Proceso de Gasto Público
Materialidad</t>
  </si>
  <si>
    <t>Código formato: PVCGF-04-09     
                                                                                   Versión: 2.0</t>
  </si>
  <si>
    <t>Instrumento para la calificación de la gestión fiscal
Proceso de gasto público
Hoja de calificación</t>
  </si>
  <si>
    <t>Código formato: PVCGF-04-09        
                                                                         Versión: 2.0</t>
  </si>
  <si>
    <t>Auditoría Financiera, de Gestión y Resultados</t>
  </si>
  <si>
    <t>O1201 Disposición de activos</t>
  </si>
  <si>
    <t>desarrollo econimo</t>
  </si>
  <si>
    <t>ipes</t>
  </si>
  <si>
    <t xml:space="preserve">ins dis turismo </t>
  </si>
  <si>
    <t>CON GASTOS</t>
  </si>
  <si>
    <t>g</t>
  </si>
  <si>
    <t>gastos</t>
  </si>
  <si>
    <t>no</t>
  </si>
  <si>
    <t>si</t>
  </si>
  <si>
    <t xml:space="preserve">Instrumento para la calificación de la gestión fiscal
Proceso Plan Estratégico </t>
  </si>
  <si>
    <t>CAJA</t>
  </si>
  <si>
    <t>La caja menor solo tiene una vigencia de un año, y se cancela al finalizar el mismo, presenta una variacion negativa significativa de un año a otro</t>
  </si>
  <si>
    <t>MEDIIO</t>
  </si>
  <si>
    <t>Lineamentos del PAE 2025</t>
  </si>
  <si>
    <t>Originada principalmente por los recursos con liquidez inmediata, cuya cuantia representativa esta en los depositos en instituciones financieras. Su variacion es negativa con respecto al año anterior.</t>
  </si>
  <si>
    <t>Jaison Julio López - Profesional Universitario 219-03</t>
  </si>
  <si>
    <t>Martha Ayala Rojas</t>
  </si>
  <si>
    <t>NO TRIBUTARIOS</t>
  </si>
  <si>
    <t>Durante la vigencia 2023 los ingresos totales presentan un aumento del 18,11% esto por la venta de servicios, la remuneracion que recibe la empresa derivado de la calidad del ente gestor del sistema, ingresos por explotracion colateral del sistema, comercializacion y enajenacion de bienes y otros ingresos.</t>
  </si>
  <si>
    <t xml:space="preserve">Es necesario verificar su tratamiento y movimiento contable. </t>
  </si>
  <si>
    <t>DEVOLUCIONES Y DESCUENTOS (DB)</t>
  </si>
  <si>
    <t>CUENTAS Y SALDOS PRESENTADOS A DICIEMBRE 31 DE __2024_____</t>
  </si>
  <si>
    <t xml:space="preserve">Valor Material en NIVEL 1 </t>
  </si>
  <si>
    <t>Valor Material en NIVEL 2</t>
  </si>
  <si>
    <t>Valor Material en NIVEL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</si>
</sst>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quot;$&quot;* #,##0.00_);_(&quot;$&quot;* \(#,##0.00\);_(&quot;$&quot;* &quot;-&quot;??_);_(@_)"/>
    <numFmt numFmtId="166" formatCode="_(* #,##0.00_);_(* \(#,##0.00\);_(* &quot;-&quot;??_);_(@_)"/>
    <numFmt numFmtId="167" formatCode="_-* #,##0_-;\-* #,##0_-;_-* &quot;-&quot;??_-;_-@_-"/>
    <numFmt numFmtId="168" formatCode="_-[$$-240A]* #,##0.00_-;\-[$$-240A]* #,##0.00_-;_-[$$-240A]* &quot;-&quot;??_-;_-@_-"/>
    <numFmt numFmtId="169" formatCode="d/mm/yyyy;@"/>
    <numFmt numFmtId="170" formatCode="0.0%"/>
    <numFmt numFmtId="171" formatCode="&quot;$&quot;#,##0.00"/>
    <numFmt numFmtId="172" formatCode="0.000%"/>
    <numFmt numFmtId="173" formatCode="0.0"/>
    <numFmt numFmtId="174" formatCode="_(&quot;$&quot;* #,##0_);_(&quot;$&quot;* \(#,##0\);_(&quot;$&quot;* &quot;-&quot;??_);_(@_)"/>
    <numFmt numFmtId="175" formatCode="_-&quot;$&quot;* #,##0_-;\-&quot;$&quot;* #,##0_-;_-&quot;$&quot;* &quot;-&quot;??_-;_-@_-"/>
    <numFmt numFmtId="176" formatCode="&quot;$&quot;#,##0"/>
    <numFmt numFmtId="177" formatCode="_-&quot;$&quot;\ * #,##0_-;\-&quot;$&quot;\ * #,##0_-;_-&quot;$&quot;\ * &quot;-&quot;??_-;_-@_-"/>
    <numFmt numFmtId="178" formatCode="_(&quot;$&quot;\ * #,##0.00_);_(&quot;$&quot;\ * \(#,##0.00\);_(&quot;$&quot;\ * &quot;-&quot;??_);_(@_)"/>
    <numFmt numFmtId="179" formatCode="0;\-0;;@"/>
    <numFmt numFmtId="180" formatCode="_-* #,##0.0_-;\-* #,##0.0_-;_-* &quot;-&quot;??_-;_-@_-"/>
    <numFmt numFmtId="181" formatCode="&quot;$&quot;\ #,##0.00"/>
    <numFmt numFmtId="182" formatCode="0.000000"/>
    <numFmt numFmtId="183" formatCode="_-* #,##0.000000_-;\-* #,##0.000000_-;_-* &quot;-&quot;_-;_-@_-"/>
    <numFmt numFmtId="184" formatCode="#,##0.0"/>
    <numFmt numFmtId="185" formatCode="_(* #,##0_);_(* \(#,##0\);_(* &quot;-&quot;??_);_(@_)"/>
  </numFmts>
  <fonts count="186"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9C0006"/>
      <name val="Calibri"/>
      <family val="2"/>
      <scheme val="minor"/>
    </font>
    <font>
      <sz val="11"/>
      <color indexed="8"/>
      <name val="Calibri"/>
      <family val="2"/>
    </font>
    <font>
      <sz val="10"/>
      <name val="Arial"/>
      <family val="2"/>
    </font>
    <font>
      <b/>
      <sz val="12"/>
      <name val="Arial"/>
      <family val="2"/>
    </font>
    <font>
      <b/>
      <sz val="14"/>
      <name val="Arial"/>
      <family val="2"/>
    </font>
    <font>
      <b/>
      <sz val="9"/>
      <name val="Arial"/>
      <family val="2"/>
    </font>
    <font>
      <sz val="12"/>
      <name val="Arial"/>
      <family val="2"/>
    </font>
    <font>
      <sz val="11"/>
      <color theme="1"/>
      <name val="Arial"/>
      <family val="2"/>
    </font>
    <font>
      <b/>
      <sz val="9"/>
      <color indexed="81"/>
      <name val="Tahoma"/>
      <family val="2"/>
    </font>
    <font>
      <sz val="9"/>
      <color indexed="81"/>
      <name val="Tahoma"/>
      <family val="2"/>
    </font>
    <font>
      <b/>
      <sz val="18"/>
      <name val="Arial"/>
      <family val="2"/>
    </font>
    <font>
      <sz val="11"/>
      <color theme="0"/>
      <name val="Calibri"/>
      <family val="2"/>
      <scheme val="minor"/>
    </font>
    <font>
      <b/>
      <sz val="12"/>
      <color theme="1"/>
      <name val="Arial"/>
      <family val="2"/>
    </font>
    <font>
      <sz val="12"/>
      <color theme="1"/>
      <name val="Arial"/>
      <family val="2"/>
    </font>
    <font>
      <sz val="14"/>
      <color theme="1"/>
      <name val="Arial"/>
      <family val="2"/>
    </font>
    <font>
      <b/>
      <sz val="14"/>
      <color theme="1"/>
      <name val="Arial"/>
      <family val="2"/>
    </font>
    <font>
      <b/>
      <sz val="12"/>
      <color theme="0"/>
      <name val="Arial"/>
      <family val="2"/>
    </font>
    <font>
      <b/>
      <sz val="18"/>
      <color theme="1"/>
      <name val="Arial"/>
      <family val="2"/>
    </font>
    <font>
      <b/>
      <sz val="11"/>
      <color theme="1"/>
      <name val="Arial"/>
      <family val="2"/>
    </font>
    <font>
      <u/>
      <sz val="11"/>
      <color theme="10"/>
      <name val="Calibri"/>
      <family val="2"/>
      <scheme val="minor"/>
    </font>
    <font>
      <sz val="11"/>
      <name val="Arial"/>
      <family val="2"/>
    </font>
    <font>
      <b/>
      <sz val="11"/>
      <name val="Arial"/>
      <family val="2"/>
    </font>
    <font>
      <b/>
      <sz val="14"/>
      <color indexed="8"/>
      <name val="Arial"/>
      <family val="2"/>
    </font>
    <font>
      <b/>
      <sz val="10"/>
      <color rgb="FF000000"/>
      <name val="Arial"/>
      <family val="2"/>
    </font>
    <font>
      <b/>
      <sz val="9"/>
      <color rgb="FF000000"/>
      <name val="Arial"/>
      <family val="2"/>
    </font>
    <font>
      <sz val="9"/>
      <color rgb="FF000000"/>
      <name val="Arial"/>
      <family val="2"/>
    </font>
    <font>
      <sz val="10"/>
      <color rgb="FF000000"/>
      <name val="Arial"/>
      <family val="2"/>
    </font>
    <font>
      <sz val="8"/>
      <color rgb="FF000000"/>
      <name val="Segoe UI"/>
      <family val="2"/>
    </font>
    <font>
      <b/>
      <sz val="10"/>
      <color theme="1"/>
      <name val="Arial"/>
      <family val="2"/>
    </font>
    <font>
      <sz val="9"/>
      <color theme="1"/>
      <name val="Arial"/>
      <family val="2"/>
    </font>
    <font>
      <b/>
      <sz val="11"/>
      <color rgb="FF000000"/>
      <name val="Arial"/>
      <family val="2"/>
    </font>
    <font>
      <b/>
      <sz val="11"/>
      <color theme="1" tint="0.249977111117893"/>
      <name val="Arial"/>
      <family val="2"/>
    </font>
    <font>
      <b/>
      <u/>
      <sz val="11"/>
      <color theme="1"/>
      <name val="Arial"/>
      <family val="2"/>
    </font>
    <font>
      <sz val="11"/>
      <color rgb="FF000000"/>
      <name val="Arial"/>
      <family val="2"/>
    </font>
    <font>
      <sz val="11"/>
      <color theme="0"/>
      <name val="Arial"/>
      <family val="2"/>
    </font>
    <font>
      <sz val="11"/>
      <color theme="0" tint="-0.14999847407452621"/>
      <name val="Arial"/>
      <family val="2"/>
    </font>
    <font>
      <b/>
      <sz val="16"/>
      <name val="Arial"/>
      <family val="2"/>
    </font>
    <font>
      <sz val="9"/>
      <color theme="1" tint="0.14999847407452621"/>
      <name val="Arial"/>
      <family val="2"/>
    </font>
    <font>
      <b/>
      <sz val="9"/>
      <color theme="1"/>
      <name val="Arial"/>
      <family val="2"/>
    </font>
    <font>
      <b/>
      <sz val="22"/>
      <name val="Arial"/>
      <family val="2"/>
    </font>
    <font>
      <sz val="10"/>
      <color theme="1"/>
      <name val="Arial"/>
      <family val="2"/>
    </font>
    <font>
      <b/>
      <sz val="26"/>
      <name val="Arial"/>
      <family val="2"/>
    </font>
    <font>
      <sz val="14"/>
      <name val="Arial"/>
      <family val="2"/>
    </font>
    <font>
      <sz val="8"/>
      <name val="Arial"/>
      <family val="2"/>
    </font>
    <font>
      <b/>
      <sz val="11"/>
      <color theme="0"/>
      <name val="Arial"/>
      <family val="2"/>
    </font>
    <font>
      <sz val="10"/>
      <color theme="0"/>
      <name val="Arial"/>
      <family val="2"/>
    </font>
    <font>
      <sz val="10"/>
      <color indexed="8"/>
      <name val="Arial"/>
      <family val="2"/>
    </font>
    <font>
      <sz val="10"/>
      <color rgb="FFFF0000"/>
      <name val="Arial"/>
      <family val="2"/>
    </font>
    <font>
      <b/>
      <sz val="11"/>
      <color theme="0" tint="-4.9989318521683403E-2"/>
      <name val="Arial"/>
      <family val="2"/>
    </font>
    <font>
      <sz val="11"/>
      <color theme="0" tint="-0.499984740745262"/>
      <name val="Arial"/>
      <family val="2"/>
    </font>
    <font>
      <sz val="11"/>
      <color rgb="FF9C6500"/>
      <name val="Calibri"/>
      <family val="2"/>
      <scheme val="minor"/>
    </font>
    <font>
      <b/>
      <sz val="11"/>
      <color theme="0"/>
      <name val="Calibri"/>
      <family val="2"/>
      <scheme val="minor"/>
    </font>
    <font>
      <b/>
      <sz val="11"/>
      <color theme="1"/>
      <name val="Calibri"/>
      <family val="2"/>
      <scheme val="minor"/>
    </font>
    <font>
      <sz val="12"/>
      <color rgb="FFFF0000"/>
      <name val="Arial"/>
      <family val="2"/>
    </font>
    <font>
      <b/>
      <sz val="11"/>
      <name val="Calibri"/>
      <family val="2"/>
    </font>
    <font>
      <sz val="10"/>
      <color theme="1"/>
      <name val="Calibri"/>
      <family val="2"/>
      <scheme val="minor"/>
    </font>
    <font>
      <sz val="11"/>
      <color rgb="FFFF0000"/>
      <name val="Arial"/>
      <family val="2"/>
    </font>
    <font>
      <sz val="11"/>
      <name val="Calibri"/>
      <family val="2"/>
    </font>
    <font>
      <b/>
      <sz val="10"/>
      <color indexed="8"/>
      <name val="Arial"/>
      <family val="2"/>
    </font>
    <font>
      <sz val="16"/>
      <color theme="1"/>
      <name val="Calibri"/>
      <family val="2"/>
      <scheme val="minor"/>
    </font>
    <font>
      <b/>
      <sz val="9"/>
      <color rgb="FF000000"/>
      <name val="Tahoma"/>
      <family val="2"/>
    </font>
    <font>
      <sz val="9"/>
      <color rgb="FF000000"/>
      <name val="Tahoma"/>
      <family val="2"/>
    </font>
    <font>
      <sz val="8"/>
      <color theme="1"/>
      <name val="Arial"/>
      <family val="2"/>
    </font>
    <font>
      <sz val="6"/>
      <color rgb="FF000000"/>
      <name val="Arial"/>
      <family val="2"/>
    </font>
    <font>
      <sz val="11"/>
      <name val="Calibri"/>
      <family val="2"/>
      <scheme val="minor"/>
    </font>
    <font>
      <b/>
      <sz val="12"/>
      <name val="Calibri"/>
      <family val="2"/>
      <scheme val="minor"/>
    </font>
    <font>
      <b/>
      <sz val="12"/>
      <color indexed="8"/>
      <name val="Arial"/>
      <family val="2"/>
    </font>
    <font>
      <b/>
      <sz val="10"/>
      <name val="Arial"/>
      <family val="2"/>
    </font>
    <font>
      <sz val="10"/>
      <color indexed="10"/>
      <name val="Arial"/>
      <family val="2"/>
    </font>
    <font>
      <u/>
      <sz val="10"/>
      <color theme="1"/>
      <name val="Arial"/>
      <family val="2"/>
    </font>
    <font>
      <b/>
      <u/>
      <sz val="10"/>
      <color theme="1"/>
      <name val="Arial"/>
      <family val="2"/>
    </font>
    <font>
      <b/>
      <sz val="12"/>
      <color theme="1"/>
      <name val="Calibri"/>
      <family val="2"/>
      <scheme val="minor"/>
    </font>
    <font>
      <sz val="12"/>
      <color rgb="FF000000"/>
      <name val="Calibri"/>
      <family val="2"/>
      <scheme val="minor"/>
    </font>
    <font>
      <b/>
      <sz val="9"/>
      <color rgb="FF000000"/>
      <name val="Calibri"/>
      <family val="2"/>
      <scheme val="minor"/>
    </font>
    <font>
      <b/>
      <sz val="14"/>
      <color theme="1"/>
      <name val="Calibri"/>
      <family val="2"/>
      <scheme val="minor"/>
    </font>
    <font>
      <b/>
      <sz val="18"/>
      <color theme="1"/>
      <name val="Calibri"/>
      <family val="2"/>
      <scheme val="minor"/>
    </font>
    <font>
      <b/>
      <sz val="9"/>
      <color theme="0"/>
      <name val="Calibri"/>
      <family val="2"/>
      <scheme val="minor"/>
    </font>
    <font>
      <b/>
      <sz val="10"/>
      <color theme="1"/>
      <name val="Calibri"/>
      <family val="2"/>
      <scheme val="minor"/>
    </font>
    <font>
      <b/>
      <sz val="12"/>
      <color indexed="8"/>
      <name val="Calibri"/>
      <family val="2"/>
      <scheme val="minor"/>
    </font>
    <font>
      <sz val="9"/>
      <color theme="0" tint="-0.34998626667073579"/>
      <name val="Calibri"/>
      <family val="2"/>
      <scheme val="minor"/>
    </font>
    <font>
      <b/>
      <sz val="9"/>
      <name val="Calibri"/>
      <family val="2"/>
      <scheme val="minor"/>
    </font>
    <font>
      <b/>
      <sz val="9"/>
      <color theme="1"/>
      <name val="Calibri"/>
      <family val="2"/>
      <scheme val="minor"/>
    </font>
    <font>
      <sz val="9"/>
      <color theme="1"/>
      <name val="Calibri"/>
      <family val="2"/>
      <scheme val="minor"/>
    </font>
    <font>
      <b/>
      <sz val="8"/>
      <name val="Calibri"/>
      <family val="2"/>
      <scheme val="minor"/>
    </font>
    <font>
      <b/>
      <u/>
      <sz val="10"/>
      <color theme="1"/>
      <name val="Calibri"/>
      <family val="2"/>
      <scheme val="minor"/>
    </font>
    <font>
      <b/>
      <sz val="10"/>
      <name val="Calibri"/>
      <family val="2"/>
      <scheme val="minor"/>
    </font>
    <font>
      <b/>
      <u/>
      <sz val="11"/>
      <color theme="1"/>
      <name val="Calibri"/>
      <family val="2"/>
      <scheme val="minor"/>
    </font>
    <font>
      <b/>
      <sz val="11"/>
      <color rgb="FFFF0000"/>
      <name val="Calibri"/>
      <family val="2"/>
      <scheme val="minor"/>
    </font>
    <font>
      <sz val="11"/>
      <color rgb="FF000000"/>
      <name val="Calibri"/>
      <family val="2"/>
      <scheme val="minor"/>
    </font>
    <font>
      <u/>
      <sz val="11"/>
      <color theme="1"/>
      <name val="Calibri"/>
      <family val="2"/>
      <scheme val="minor"/>
    </font>
    <font>
      <sz val="11"/>
      <color indexed="8"/>
      <name val="Calibri"/>
      <family val="2"/>
      <scheme val="minor"/>
    </font>
    <font>
      <u/>
      <sz val="11"/>
      <color indexed="8"/>
      <name val="Calibri"/>
      <family val="2"/>
      <scheme val="minor"/>
    </font>
    <font>
      <b/>
      <sz val="7"/>
      <color theme="1"/>
      <name val="Calibri"/>
      <family val="2"/>
      <scheme val="minor"/>
    </font>
    <font>
      <sz val="11"/>
      <color indexed="81"/>
      <name val="Tahoma"/>
      <family val="2"/>
    </font>
    <font>
      <sz val="14"/>
      <color indexed="81"/>
      <name val="Tahoma"/>
      <family val="2"/>
    </font>
    <font>
      <b/>
      <sz val="11"/>
      <name val="Calibri"/>
      <family val="2"/>
      <scheme val="minor"/>
    </font>
    <font>
      <b/>
      <sz val="8"/>
      <color rgb="FF000000"/>
      <name val="Tahoma"/>
      <family val="2"/>
    </font>
    <font>
      <b/>
      <sz val="8"/>
      <color indexed="81"/>
      <name val="Tahoma"/>
      <family val="2"/>
    </font>
    <font>
      <sz val="8"/>
      <color indexed="81"/>
      <name val="Tahoma"/>
      <family val="2"/>
    </font>
    <font>
      <b/>
      <sz val="10"/>
      <color indexed="81"/>
      <name val="Tahoma"/>
      <family val="2"/>
    </font>
    <font>
      <sz val="10"/>
      <color rgb="FF000000"/>
      <name val="Tahoma"/>
      <family val="2"/>
    </font>
    <font>
      <sz val="10"/>
      <color indexed="81"/>
      <name val="Tahoma"/>
      <family val="2"/>
    </font>
    <font>
      <b/>
      <sz val="10"/>
      <color rgb="FF000000"/>
      <name val="Tahoma"/>
      <family val="2"/>
    </font>
    <font>
      <b/>
      <sz val="11"/>
      <color indexed="8"/>
      <name val="Arial"/>
      <family val="2"/>
    </font>
    <font>
      <sz val="11"/>
      <color theme="0" tint="-0.34998626667073579"/>
      <name val="Arial"/>
      <family val="2"/>
    </font>
    <font>
      <b/>
      <sz val="18"/>
      <color indexed="8"/>
      <name val="Arial"/>
      <family val="2"/>
    </font>
    <font>
      <i/>
      <sz val="12"/>
      <name val="Arial"/>
      <family val="2"/>
    </font>
    <font>
      <b/>
      <u/>
      <sz val="12"/>
      <color indexed="62"/>
      <name val="Arial"/>
      <family val="2"/>
    </font>
    <font>
      <b/>
      <sz val="11"/>
      <color rgb="FFFF0000"/>
      <name val="Arial"/>
      <family val="2"/>
    </font>
    <font>
      <sz val="8"/>
      <color indexed="8"/>
      <name val="Arial"/>
      <family val="2"/>
    </font>
    <font>
      <sz val="11"/>
      <color indexed="8"/>
      <name val="Arial"/>
      <family val="2"/>
    </font>
    <font>
      <u/>
      <sz val="11"/>
      <color indexed="12"/>
      <name val="Arial"/>
      <family val="2"/>
    </font>
    <font>
      <u/>
      <sz val="12"/>
      <color indexed="12"/>
      <name val="Arial"/>
      <family val="2"/>
    </font>
    <font>
      <u/>
      <sz val="11"/>
      <color indexed="10"/>
      <name val="Arial"/>
      <family val="2"/>
    </font>
    <font>
      <b/>
      <u/>
      <sz val="11"/>
      <color indexed="62"/>
      <name val="Arial"/>
      <family val="2"/>
    </font>
    <font>
      <sz val="11"/>
      <color indexed="12"/>
      <name val="Arial"/>
      <family val="2"/>
    </font>
    <font>
      <b/>
      <i/>
      <sz val="16"/>
      <name val="Arial"/>
      <family val="2"/>
    </font>
    <font>
      <sz val="9"/>
      <name val="Arial"/>
      <family val="2"/>
    </font>
    <font>
      <sz val="9"/>
      <color indexed="8"/>
      <name val="Arial"/>
      <family val="2"/>
    </font>
    <font>
      <sz val="12"/>
      <color rgb="FF000000"/>
      <name val="Arial"/>
      <family val="2"/>
    </font>
    <font>
      <b/>
      <u/>
      <sz val="12"/>
      <color theme="1"/>
      <name val="Arial"/>
      <family val="2"/>
    </font>
    <font>
      <b/>
      <sz val="9"/>
      <color indexed="8"/>
      <name val="Arial"/>
      <family val="2"/>
    </font>
    <font>
      <sz val="14"/>
      <color indexed="8"/>
      <name val="Arial"/>
      <family val="2"/>
    </font>
    <font>
      <b/>
      <u/>
      <sz val="14"/>
      <color indexed="8"/>
      <name val="Arial"/>
      <family val="2"/>
    </font>
    <font>
      <u/>
      <sz val="14"/>
      <color indexed="8"/>
      <name val="Arial"/>
      <family val="2"/>
    </font>
    <font>
      <b/>
      <sz val="8"/>
      <color rgb="FF000000"/>
      <name val="Arial"/>
      <family val="2"/>
    </font>
    <font>
      <sz val="12"/>
      <color indexed="8"/>
      <name val="Arial"/>
      <family val="2"/>
    </font>
    <font>
      <b/>
      <sz val="16"/>
      <color indexed="8"/>
      <name val="Arial"/>
      <family val="2"/>
    </font>
    <font>
      <b/>
      <i/>
      <sz val="16"/>
      <color rgb="FF000000"/>
      <name val="Arial"/>
      <family val="2"/>
    </font>
    <font>
      <b/>
      <i/>
      <sz val="14"/>
      <color rgb="FF000000"/>
      <name val="Arial"/>
      <family val="2"/>
    </font>
    <font>
      <b/>
      <sz val="18"/>
      <color theme="3"/>
      <name val="Arial"/>
      <family val="2"/>
    </font>
    <font>
      <b/>
      <sz val="16"/>
      <color theme="1"/>
      <name val="Arial"/>
      <family val="2"/>
    </font>
    <font>
      <b/>
      <i/>
      <sz val="16"/>
      <color theme="1"/>
      <name val="Arial"/>
      <family val="2"/>
    </font>
    <font>
      <b/>
      <sz val="22"/>
      <color indexed="8"/>
      <name val="Arial"/>
      <family val="2"/>
    </font>
    <font>
      <b/>
      <sz val="22"/>
      <color rgb="FFFF0000"/>
      <name val="Arial"/>
      <family val="2"/>
    </font>
    <font>
      <b/>
      <i/>
      <sz val="14"/>
      <name val="Arial"/>
      <family val="2"/>
    </font>
    <font>
      <sz val="12"/>
      <color indexed="63"/>
      <name val="Arial"/>
      <family val="2"/>
    </font>
    <font>
      <sz val="14"/>
      <color indexed="63"/>
      <name val="Arial"/>
      <family val="2"/>
    </font>
    <font>
      <sz val="14"/>
      <name val="Calibri"/>
      <family val="2"/>
      <scheme val="minor"/>
    </font>
    <font>
      <sz val="11"/>
      <color rgb="FF9C5700"/>
      <name val="Calibri"/>
      <family val="2"/>
      <scheme val="minor"/>
    </font>
    <font>
      <b/>
      <sz val="14"/>
      <color indexed="63"/>
      <name val="Arial"/>
      <family val="2"/>
    </font>
    <font>
      <sz val="18"/>
      <color theme="1"/>
      <name val="Calibri"/>
      <family val="2"/>
      <scheme val="minor"/>
    </font>
    <font>
      <b/>
      <sz val="12"/>
      <color indexed="8"/>
      <name val="Calibri"/>
      <family val="2"/>
    </font>
    <font>
      <b/>
      <sz val="16"/>
      <name val="Calibri"/>
      <family val="2"/>
    </font>
    <font>
      <i/>
      <sz val="10"/>
      <color indexed="8"/>
      <name val="Arial"/>
      <family val="2"/>
    </font>
    <font>
      <i/>
      <sz val="10"/>
      <name val="Arial"/>
      <family val="2"/>
    </font>
    <font>
      <i/>
      <sz val="11"/>
      <name val="Arial"/>
      <family val="2"/>
    </font>
    <font>
      <sz val="11"/>
      <color theme="1"/>
      <name val="Symbol"/>
      <family val="1"/>
      <charset val="2"/>
    </font>
    <font>
      <sz val="7"/>
      <color theme="1"/>
      <name val="Times New Roman"/>
      <family val="1"/>
    </font>
    <font>
      <sz val="11"/>
      <color rgb="FF000000"/>
      <name val="Symbol"/>
      <family val="1"/>
      <charset val="2"/>
    </font>
    <font>
      <b/>
      <sz val="22"/>
      <color theme="1"/>
      <name val="Arial"/>
      <family val="2"/>
    </font>
    <font>
      <b/>
      <u/>
      <sz val="14"/>
      <color theme="0"/>
      <name val="Arial"/>
      <family val="2"/>
    </font>
    <font>
      <b/>
      <u/>
      <sz val="18"/>
      <color theme="0"/>
      <name val="Arial"/>
      <family val="2"/>
    </font>
    <font>
      <b/>
      <sz val="14"/>
      <color theme="0"/>
      <name val="Arial"/>
      <family val="2"/>
    </font>
    <font>
      <b/>
      <sz val="16"/>
      <color theme="0" tint="-4.9989318521683403E-2"/>
      <name val="Arial"/>
      <family val="2"/>
    </font>
    <font>
      <b/>
      <sz val="12"/>
      <color theme="0" tint="-4.9989318521683403E-2"/>
      <name val="Arial"/>
      <family val="2"/>
    </font>
    <font>
      <b/>
      <sz val="14"/>
      <color theme="0" tint="-4.9989318521683403E-2"/>
      <name val="Arial"/>
      <family val="2"/>
    </font>
    <font>
      <b/>
      <sz val="16"/>
      <color theme="1"/>
      <name val="Calibri"/>
      <family val="2"/>
      <scheme val="minor"/>
    </font>
    <font>
      <sz val="16"/>
      <color theme="1"/>
      <name val="Arial"/>
      <family val="2"/>
    </font>
    <font>
      <sz val="16"/>
      <color indexed="8"/>
      <name val="Arial"/>
      <family val="2"/>
    </font>
    <font>
      <sz val="10"/>
      <color rgb="FF000000"/>
      <name val="Calibri"/>
      <family val="2"/>
    </font>
    <font>
      <sz val="12"/>
      <color rgb="FF006100"/>
      <name val="Arial"/>
      <family val="2"/>
    </font>
    <font>
      <b/>
      <sz val="11"/>
      <color rgb="FF000000"/>
      <name val="Calibri"/>
      <family val="2"/>
      <scheme val="minor"/>
    </font>
    <font>
      <sz val="11"/>
      <color rgb="FF006100"/>
      <name val="Arial"/>
      <family val="2"/>
    </font>
    <font>
      <sz val="11"/>
      <color rgb="FF9C0006"/>
      <name val="Arial"/>
      <family val="2"/>
    </font>
    <font>
      <sz val="11"/>
      <color rgb="FF9C6500"/>
      <name val="Arial"/>
      <family val="2"/>
    </font>
    <font>
      <b/>
      <sz val="17"/>
      <name val="Arial"/>
      <family val="2"/>
    </font>
    <font>
      <b/>
      <u/>
      <sz val="12"/>
      <color theme="1"/>
      <name val="Calibri"/>
      <family val="2"/>
      <scheme val="minor"/>
    </font>
    <font>
      <sz val="11"/>
      <color rgb="FFFF0000"/>
      <name val="Calibri"/>
      <family val="2"/>
      <scheme val="minor"/>
    </font>
    <font>
      <b/>
      <sz val="12"/>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b/>
      <u/>
      <sz val="11"/>
      <color rgb="FFFF0000"/>
      <name val="Calibri"/>
      <family val="2"/>
      <scheme val="minor"/>
    </font>
    <font>
      <b/>
      <u/>
      <sz val="11"/>
      <color rgb="FFFF0000"/>
      <name val="Arial"/>
      <family val="2"/>
    </font>
    <font>
      <b/>
      <i/>
      <sz val="11"/>
      <color rgb="FFFF0000"/>
      <name val="Arial"/>
      <family val="2"/>
    </font>
    <font>
      <sz val="10"/>
      <name val="Calibri"/>
      <family val="2"/>
      <scheme val="minor"/>
    </font>
    <font>
      <b/>
      <sz val="20"/>
      <name val="Arial"/>
      <family val="2"/>
    </font>
    <font>
      <sz val="8"/>
      <color rgb="FF000000"/>
      <name val="Arial"/>
      <family val="2"/>
    </font>
  </fonts>
  <fills count="72">
    <fill>
      <patternFill patternType="none"/>
    </fill>
    <fill>
      <patternFill patternType="gray125"/>
    </fill>
    <fill>
      <patternFill patternType="solid">
        <fgColor rgb="FFFFC7CE"/>
      </patternFill>
    </fill>
    <fill>
      <patternFill patternType="solid">
        <fgColor indexed="26"/>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4" tint="0.39997558519241921"/>
        <bgColor indexed="64"/>
      </patternFill>
    </fill>
    <fill>
      <patternFill patternType="solid">
        <fgColor rgb="FF00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D6DCE4"/>
        <bgColor indexed="64"/>
      </patternFill>
    </fill>
    <fill>
      <patternFill patternType="solid">
        <fgColor rgb="FFDDEBF7"/>
        <bgColor indexed="64"/>
      </patternFill>
    </fill>
    <fill>
      <patternFill patternType="solid">
        <fgColor rgb="FFFCE4D6"/>
        <bgColor indexed="64"/>
      </patternFill>
    </fill>
    <fill>
      <patternFill patternType="solid">
        <fgColor rgb="FFFFFF00"/>
        <bgColor indexed="64"/>
      </patternFill>
    </fill>
    <fill>
      <patternFill patternType="solid">
        <fgColor rgb="FFFF0000"/>
        <bgColor indexed="64"/>
      </patternFill>
    </fill>
    <fill>
      <patternFill patternType="solid">
        <fgColor theme="4"/>
      </patternFill>
    </fill>
    <fill>
      <patternFill patternType="solid">
        <fgColor theme="5"/>
      </patternFill>
    </fill>
    <fill>
      <patternFill patternType="solid">
        <fgColor theme="8" tint="0.39997558519241921"/>
        <bgColor indexed="64"/>
      </patternFill>
    </fill>
    <fill>
      <patternFill patternType="solid">
        <fgColor theme="4" tint="0.59999389629810485"/>
        <bgColor indexed="64"/>
      </patternFill>
    </fill>
    <fill>
      <patternFill patternType="solid">
        <fgColor rgb="FFD6BBEB"/>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rgb="FF92D050"/>
        <bgColor indexed="64"/>
      </patternFill>
    </fill>
    <fill>
      <patternFill patternType="solid">
        <fgColor theme="7" tint="0.79998168889431442"/>
        <bgColor theme="4" tint="0.79998168889431442"/>
      </patternFill>
    </fill>
    <fill>
      <patternFill patternType="solid">
        <fgColor theme="7" tint="0.79998168889431442"/>
        <bgColor theme="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FFEB9C"/>
      </patternFill>
    </fill>
    <fill>
      <patternFill patternType="solid">
        <fgColor rgb="FFFFFFCC"/>
      </patternFill>
    </fill>
    <fill>
      <patternFill patternType="solid">
        <fgColor theme="5" tint="0.59999389629810485"/>
        <bgColor indexed="65"/>
      </patternFill>
    </fill>
    <fill>
      <patternFill patternType="solid">
        <fgColor theme="6" tint="0.39997558519241921"/>
        <bgColor indexed="65"/>
      </patternFill>
    </fill>
    <fill>
      <patternFill patternType="solid">
        <fgColor theme="7" tint="0.59999389629810485"/>
        <bgColor indexed="65"/>
      </patternFill>
    </fill>
    <fill>
      <patternFill patternType="solid">
        <fgColor theme="9"/>
        <bgColor indexed="64"/>
      </patternFill>
    </fill>
    <fill>
      <patternFill patternType="solid">
        <fgColor theme="5" tint="-0.249977111117893"/>
        <bgColor indexed="64"/>
      </patternFill>
    </fill>
    <fill>
      <patternFill patternType="solid">
        <fgColor rgb="FF00B0F0"/>
        <bgColor indexed="64"/>
      </patternFill>
    </fill>
    <fill>
      <patternFill patternType="solid">
        <fgColor rgb="FFA9D08E"/>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7CE"/>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rgb="FFFFFF00"/>
        <bgColor theme="4" tint="0.79998168889431442"/>
      </patternFill>
    </fill>
    <fill>
      <patternFill patternType="solid">
        <fgColor indexed="9"/>
        <bgColor indexed="64"/>
      </patternFill>
    </fill>
    <fill>
      <patternFill patternType="solid">
        <fgColor indexed="45"/>
        <bgColor indexed="64"/>
      </patternFill>
    </fill>
    <fill>
      <patternFill patternType="solid">
        <fgColor indexed="42"/>
        <bgColor indexed="64"/>
      </patternFill>
    </fill>
    <fill>
      <patternFill patternType="solid">
        <fgColor theme="6" tint="0.39997558519241921"/>
        <bgColor indexed="64"/>
      </patternFill>
    </fill>
    <fill>
      <patternFill patternType="solid">
        <fgColor rgb="FFFF99CC"/>
        <bgColor indexed="64"/>
      </patternFill>
    </fill>
    <fill>
      <patternFill patternType="solid">
        <fgColor rgb="FFFF99FF"/>
        <bgColor indexed="64"/>
      </patternFill>
    </fill>
    <fill>
      <patternFill patternType="solid">
        <fgColor theme="9" tint="0.39997558519241921"/>
        <bgColor indexed="64"/>
      </patternFill>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rgb="FFF2F2F2"/>
        <bgColor indexed="64"/>
      </patternFill>
    </fill>
    <fill>
      <patternFill patternType="solid">
        <fgColor rgb="FFC00000"/>
        <bgColor indexed="64"/>
      </patternFill>
    </fill>
    <fill>
      <patternFill patternType="solid">
        <fgColor rgb="FF00B050"/>
        <bgColor indexed="64"/>
      </patternFill>
    </fill>
    <fill>
      <patternFill patternType="solid">
        <fgColor rgb="FFC6EFCE"/>
      </patternFill>
    </fill>
    <fill>
      <patternFill patternType="solid">
        <fgColor rgb="FFCEE193"/>
        <bgColor indexed="64"/>
      </patternFill>
    </fill>
    <fill>
      <patternFill patternType="solid">
        <fgColor indexed="41"/>
        <bgColor indexed="64"/>
      </patternFill>
    </fill>
    <fill>
      <patternFill patternType="solid">
        <fgColor theme="7" tint="0.59999389629810485"/>
        <bgColor indexed="64"/>
      </patternFill>
    </fill>
    <fill>
      <patternFill patternType="solid">
        <fgColor rgb="FFF2DCDB"/>
        <bgColor indexed="64"/>
      </patternFill>
    </fill>
    <fill>
      <patternFill patternType="solid">
        <fgColor rgb="FFBFBFBF"/>
        <bgColor indexed="64"/>
      </patternFill>
    </fill>
  </fills>
  <borders count="172">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mediumDashed">
        <color indexed="64"/>
      </bottom>
      <diagonal/>
    </border>
    <border>
      <left/>
      <right/>
      <top style="mediumDashed">
        <color indexed="64"/>
      </top>
      <bottom style="mediumDash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thin">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double">
        <color indexed="64"/>
      </top>
      <bottom style="double">
        <color indexed="64"/>
      </bottom>
      <diagonal/>
    </border>
    <border>
      <left/>
      <right style="double">
        <color indexed="64"/>
      </right>
      <top/>
      <bottom/>
      <diagonal/>
    </border>
    <border>
      <left style="double">
        <color indexed="64"/>
      </left>
      <right/>
      <top style="thin">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diagonal/>
    </border>
    <border>
      <left/>
      <right style="thin">
        <color indexed="64"/>
      </right>
      <top style="double">
        <color indexed="64"/>
      </top>
      <bottom/>
      <diagonal/>
    </border>
    <border>
      <left style="thin">
        <color indexed="64"/>
      </left>
      <right style="double">
        <color indexed="64"/>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theme="3"/>
      </right>
      <top/>
      <bottom style="thin">
        <color theme="3"/>
      </bottom>
      <diagonal/>
    </border>
    <border>
      <left style="thin">
        <color theme="3"/>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indexed="64"/>
      </left>
      <right style="thin">
        <color theme="3"/>
      </right>
      <top style="thin">
        <color indexed="64"/>
      </top>
      <bottom/>
      <diagonal/>
    </border>
    <border>
      <left style="thin">
        <color theme="3"/>
      </left>
      <right style="thin">
        <color theme="3"/>
      </right>
      <top/>
      <bottom/>
      <diagonal/>
    </border>
    <border>
      <left style="thin">
        <color indexed="64"/>
      </left>
      <right style="thin">
        <color theme="3"/>
      </right>
      <top/>
      <bottom style="thin">
        <color indexed="64"/>
      </bottom>
      <diagonal/>
    </border>
    <border>
      <left style="thin">
        <color theme="3"/>
      </left>
      <right style="thin">
        <color theme="3"/>
      </right>
      <top/>
      <bottom style="thin">
        <color indexed="64"/>
      </bottom>
      <diagonal/>
    </border>
    <border>
      <left style="medium">
        <color indexed="64"/>
      </left>
      <right/>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double">
        <color indexed="64"/>
      </top>
      <bottom/>
      <diagonal/>
    </border>
    <border>
      <left style="medium">
        <color indexed="64"/>
      </left>
      <right style="thin">
        <color indexed="22"/>
      </right>
      <top style="medium">
        <color indexed="64"/>
      </top>
      <bottom style="medium">
        <color indexed="64"/>
      </bottom>
      <diagonal/>
    </border>
    <border>
      <left style="thin">
        <color indexed="22"/>
      </left>
      <right style="thin">
        <color indexed="22"/>
      </right>
      <top style="medium">
        <color indexed="64"/>
      </top>
      <bottom style="medium">
        <color indexed="64"/>
      </bottom>
      <diagonal/>
    </border>
    <border>
      <left style="thin">
        <color indexed="22"/>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bottom style="medium">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medium">
        <color rgb="FF9BC2E6"/>
      </left>
      <right/>
      <top style="medium">
        <color rgb="FF9BC2E6"/>
      </top>
      <bottom style="medium">
        <color rgb="FF9BC2E6"/>
      </bottom>
      <diagonal/>
    </border>
    <border>
      <left style="medium">
        <color rgb="FF9BC2E6"/>
      </left>
      <right/>
      <top/>
      <bottom style="medium">
        <color rgb="FF9BC2E6"/>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thin">
        <color theme="3"/>
      </left>
      <right style="thin">
        <color theme="3"/>
      </right>
      <top/>
      <bottom style="thin">
        <color theme="3"/>
      </bottom>
      <diagonal/>
    </border>
    <border>
      <left style="thin">
        <color indexed="64"/>
      </left>
      <right/>
      <top style="thin">
        <color indexed="64"/>
      </top>
      <bottom/>
      <diagonal/>
    </border>
    <border>
      <left/>
      <right style="thin">
        <color indexed="64"/>
      </right>
      <top style="thin">
        <color auto="1"/>
      </top>
      <bottom/>
      <diagonal/>
    </border>
    <border>
      <left style="thin">
        <color auto="1"/>
      </left>
      <right style="thin">
        <color auto="1"/>
      </right>
      <top style="thin">
        <color auto="1"/>
      </top>
      <bottom/>
      <diagonal/>
    </border>
    <border>
      <left style="thin">
        <color indexed="64"/>
      </left>
      <right/>
      <top/>
      <bottom style="thin">
        <color theme="3"/>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thin">
        <color indexed="8"/>
      </left>
      <right/>
      <top/>
      <bottom style="thin">
        <color indexed="8"/>
      </bottom>
      <diagonal/>
    </border>
  </borders>
  <cellStyleXfs count="38">
    <xf numFmtId="0" fontId="0" fillId="0" borderId="0"/>
    <xf numFmtId="165" fontId="6" fillId="0" borderId="0" applyFont="0" applyFill="0" applyBorder="0" applyAlignment="0" applyProtection="0"/>
    <xf numFmtId="9" fontId="6" fillId="0" borderId="0" applyFont="0" applyFill="0" applyBorder="0" applyAlignment="0" applyProtection="0"/>
    <xf numFmtId="0" fontId="8" fillId="3" borderId="1" applyNumberFormat="0" applyFont="0" applyAlignment="0" applyProtection="0"/>
    <xf numFmtId="166" fontId="8" fillId="0" borderId="0" applyFont="0" applyFill="0" applyBorder="0" applyAlignment="0" applyProtection="0"/>
    <xf numFmtId="0" fontId="6" fillId="0" borderId="0"/>
    <xf numFmtId="166" fontId="8" fillId="0" borderId="0" applyFont="0" applyFill="0" applyBorder="0" applyAlignment="0" applyProtection="0"/>
    <xf numFmtId="9" fontId="8" fillId="0" borderId="0" applyFont="0" applyFill="0" applyBorder="0" applyAlignment="0" applyProtection="0"/>
    <xf numFmtId="0" fontId="7" fillId="2" borderId="0" applyNumberFormat="0" applyBorder="0" applyAlignment="0" applyProtection="0"/>
    <xf numFmtId="0" fontId="8" fillId="0" borderId="0"/>
    <xf numFmtId="0" fontId="8" fillId="0" borderId="0"/>
    <xf numFmtId="0" fontId="9" fillId="0" borderId="0"/>
    <xf numFmtId="0" fontId="18" fillId="22" borderId="0" applyNumberFormat="0" applyBorder="0" applyAlignment="0" applyProtection="0"/>
    <xf numFmtId="0" fontId="18" fillId="23"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6" fillId="0" borderId="0" applyNumberForma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7" fillId="2" borderId="0" applyNumberFormat="0" applyBorder="0" applyAlignment="0" applyProtection="0"/>
    <xf numFmtId="0" fontId="6" fillId="38" borderId="88" applyNumberFormat="0" applyFont="0" applyAlignment="0" applyProtection="0"/>
    <xf numFmtId="0" fontId="6" fillId="39" borderId="0" applyNumberFormat="0" applyBorder="0" applyAlignment="0" applyProtection="0"/>
    <xf numFmtId="0" fontId="6" fillId="41" borderId="0" applyNumberFormat="0" applyBorder="0" applyAlignment="0" applyProtection="0"/>
    <xf numFmtId="43" fontId="8" fillId="0" borderId="0" applyFont="0" applyFill="0" applyBorder="0" applyAlignment="0" applyProtection="0"/>
    <xf numFmtId="0" fontId="8" fillId="3" borderId="1" applyNumberFormat="0" applyFont="0" applyAlignment="0" applyProtection="0"/>
    <xf numFmtId="178" fontId="6" fillId="0" borderId="0" applyFont="0" applyFill="0" applyBorder="0" applyAlignment="0" applyProtection="0"/>
    <xf numFmtId="166" fontId="8" fillId="0" borderId="0" applyFont="0" applyFill="0" applyBorder="0" applyAlignment="0" applyProtection="0"/>
    <xf numFmtId="0" fontId="9" fillId="0" borderId="0"/>
    <xf numFmtId="0" fontId="9" fillId="0" borderId="0"/>
    <xf numFmtId="0" fontId="6" fillId="0" borderId="0"/>
    <xf numFmtId="9" fontId="8" fillId="0" borderId="0" applyFont="0" applyFill="0" applyBorder="0" applyAlignment="0" applyProtection="0"/>
    <xf numFmtId="0" fontId="146" fillId="37" borderId="0" applyNumberFormat="0" applyBorder="0" applyAlignment="0" applyProtection="0"/>
    <xf numFmtId="0" fontId="6" fillId="40" borderId="0" applyNumberFormat="0" applyBorder="0" applyAlignment="0" applyProtection="0"/>
    <xf numFmtId="0" fontId="8" fillId="3" borderId="141" applyNumberFormat="0" applyFont="0" applyAlignment="0" applyProtection="0"/>
    <xf numFmtId="0" fontId="8" fillId="3" borderId="146" applyNumberFormat="0" applyFont="0" applyAlignment="0" applyProtection="0"/>
    <xf numFmtId="0" fontId="168" fillId="66" borderId="0" applyNumberFormat="0" applyBorder="0" applyAlignment="0" applyProtection="0"/>
    <xf numFmtId="42" fontId="6" fillId="0" borderId="0" applyFont="0" applyFill="0" applyBorder="0" applyAlignment="0" applyProtection="0"/>
  </cellStyleXfs>
  <cellXfs count="2566">
    <xf numFmtId="0" fontId="0" fillId="0" borderId="0" xfId="0"/>
    <xf numFmtId="0" fontId="9" fillId="0" borderId="0" xfId="5" applyFont="1" applyAlignment="1" applyProtection="1">
      <alignment vertical="center"/>
      <protection locked="0"/>
    </xf>
    <xf numFmtId="49" fontId="10" fillId="0" borderId="0" xfId="5" applyNumberFormat="1" applyFont="1" applyAlignment="1" applyProtection="1">
      <alignment horizontal="center" vertical="center"/>
      <protection locked="0"/>
    </xf>
    <xf numFmtId="0" fontId="10" fillId="0" borderId="0" xfId="5" applyFont="1" applyAlignment="1" applyProtection="1">
      <alignment vertical="center"/>
      <protection locked="0"/>
    </xf>
    <xf numFmtId="14" fontId="10" fillId="0" borderId="0" xfId="5" applyNumberFormat="1" applyFont="1" applyAlignment="1" applyProtection="1">
      <alignment vertical="center"/>
      <protection locked="0"/>
    </xf>
    <xf numFmtId="170" fontId="10" fillId="0" borderId="0" xfId="7" applyNumberFormat="1" applyFont="1" applyAlignment="1" applyProtection="1">
      <alignment vertical="center"/>
      <protection locked="0"/>
    </xf>
    <xf numFmtId="171" fontId="10" fillId="0" borderId="0" xfId="7" applyNumberFormat="1" applyFont="1" applyAlignment="1" applyProtection="1">
      <alignment vertical="center"/>
      <protection locked="0"/>
    </xf>
    <xf numFmtId="170" fontId="10" fillId="0" borderId="0" xfId="7" applyNumberFormat="1" applyFont="1" applyFill="1" applyAlignment="1" applyProtection="1">
      <alignment vertical="center"/>
      <protection locked="0"/>
    </xf>
    <xf numFmtId="170" fontId="12" fillId="0" borderId="0" xfId="7" applyNumberFormat="1" applyFont="1" applyAlignment="1" applyProtection="1">
      <alignment vertical="center"/>
      <protection locked="0"/>
    </xf>
    <xf numFmtId="0" fontId="19" fillId="0" borderId="0" xfId="0" applyFont="1" applyAlignment="1" applyProtection="1">
      <alignment horizontal="right" vertical="center"/>
      <protection hidden="1"/>
    </xf>
    <xf numFmtId="0" fontId="14" fillId="0" borderId="0" xfId="0" applyFont="1" applyAlignment="1" applyProtection="1">
      <alignment wrapText="1"/>
      <protection hidden="1"/>
    </xf>
    <xf numFmtId="0" fontId="14" fillId="0" borderId="0" xfId="0" applyFont="1" applyProtection="1">
      <protection hidden="1"/>
    </xf>
    <xf numFmtId="175" fontId="19" fillId="0" borderId="0" xfId="0" applyNumberFormat="1" applyFont="1" applyProtection="1">
      <protection hidden="1"/>
    </xf>
    <xf numFmtId="10" fontId="19" fillId="0" borderId="0" xfId="0" applyNumberFormat="1" applyFont="1" applyAlignment="1" applyProtection="1">
      <alignment horizontal="center"/>
      <protection locked="0"/>
    </xf>
    <xf numFmtId="175" fontId="19" fillId="0" borderId="0" xfId="15" applyNumberFormat="1" applyFont="1" applyFill="1" applyBorder="1" applyAlignment="1" applyProtection="1">
      <alignment horizontal="center"/>
      <protection hidden="1"/>
    </xf>
    <xf numFmtId="0" fontId="19" fillId="0" borderId="0" xfId="0" applyFont="1" applyProtection="1">
      <protection hidden="1"/>
    </xf>
    <xf numFmtId="0" fontId="14" fillId="0" borderId="0" xfId="0" applyFont="1" applyAlignment="1" applyProtection="1">
      <alignment horizontal="right"/>
      <protection hidden="1"/>
    </xf>
    <xf numFmtId="0" fontId="19" fillId="7" borderId="4" xfId="0" applyFont="1" applyFill="1" applyBorder="1" applyAlignment="1" applyProtection="1">
      <alignment horizontal="center" vertical="center" wrapText="1"/>
      <protection hidden="1"/>
    </xf>
    <xf numFmtId="0" fontId="19" fillId="29" borderId="4" xfId="0" applyFont="1" applyFill="1" applyBorder="1" applyAlignment="1" applyProtection="1">
      <alignment horizontal="center" vertical="center" wrapText="1"/>
      <protection hidden="1"/>
    </xf>
    <xf numFmtId="0" fontId="11" fillId="24" borderId="4" xfId="12" applyFont="1" applyFill="1" applyBorder="1" applyAlignment="1" applyProtection="1">
      <alignment horizontal="center" vertical="center"/>
      <protection hidden="1"/>
    </xf>
    <xf numFmtId="0" fontId="20" fillId="0" borderId="4" xfId="0" applyFont="1" applyBorder="1" applyAlignment="1" applyProtection="1">
      <alignment horizontal="center" vertical="center" wrapText="1"/>
      <protection locked="0" hidden="1"/>
    </xf>
    <xf numFmtId="0" fontId="20" fillId="0" borderId="4" xfId="0" applyFont="1" applyBorder="1" applyAlignment="1" applyProtection="1">
      <alignment horizontal="center" vertical="center"/>
      <protection locked="0" hidden="1"/>
    </xf>
    <xf numFmtId="0" fontId="23" fillId="23" borderId="4" xfId="13" applyFont="1" applyBorder="1" applyAlignment="1" applyProtection="1">
      <alignment horizontal="center" vertical="center"/>
      <protection hidden="1"/>
    </xf>
    <xf numFmtId="176" fontId="24" fillId="25" borderId="4" xfId="2" applyNumberFormat="1" applyFont="1" applyFill="1" applyBorder="1" applyAlignment="1" applyProtection="1">
      <alignment horizontal="center" vertical="center"/>
      <protection hidden="1"/>
    </xf>
    <xf numFmtId="9" fontId="24" fillId="25" borderId="4" xfId="2" applyFont="1" applyFill="1" applyBorder="1" applyAlignment="1" applyProtection="1">
      <alignment horizontal="center" vertical="center"/>
      <protection hidden="1"/>
    </xf>
    <xf numFmtId="165" fontId="19" fillId="13" borderId="0" xfId="1" applyFont="1" applyFill="1" applyBorder="1" applyAlignment="1">
      <alignment wrapText="1"/>
    </xf>
    <xf numFmtId="0" fontId="14" fillId="0" borderId="13" xfId="0" applyFont="1" applyBorder="1" applyAlignment="1" applyProtection="1">
      <alignment horizontal="left"/>
      <protection hidden="1"/>
    </xf>
    <xf numFmtId="0" fontId="27" fillId="13" borderId="0" xfId="12" applyFont="1" applyFill="1" applyBorder="1" applyAlignment="1" applyProtection="1">
      <alignment horizontal="left" vertical="top" wrapText="1"/>
      <protection locked="0" hidden="1"/>
    </xf>
    <xf numFmtId="0" fontId="25" fillId="25" borderId="70" xfId="0" applyFont="1" applyFill="1" applyBorder="1" applyAlignment="1" applyProtection="1">
      <alignment horizontal="center" vertical="center"/>
      <protection hidden="1"/>
    </xf>
    <xf numFmtId="0" fontId="14" fillId="13" borderId="0" xfId="0" applyFont="1" applyFill="1"/>
    <xf numFmtId="0" fontId="14" fillId="0" borderId="0" xfId="0" applyFont="1"/>
    <xf numFmtId="0" fontId="14" fillId="0" borderId="4" xfId="0" applyFont="1" applyBorder="1" applyAlignment="1">
      <alignment horizontal="center"/>
    </xf>
    <xf numFmtId="0" fontId="14" fillId="13" borderId="0" xfId="0" applyFont="1" applyFill="1" applyProtection="1">
      <protection hidden="1"/>
    </xf>
    <xf numFmtId="0" fontId="14" fillId="13" borderId="0" xfId="0" applyFont="1" applyFill="1" applyProtection="1">
      <protection locked="0"/>
    </xf>
    <xf numFmtId="0" fontId="14" fillId="13" borderId="0" xfId="0" applyFont="1" applyFill="1" applyAlignment="1" applyProtection="1">
      <alignment horizontal="center"/>
      <protection hidden="1"/>
    </xf>
    <xf numFmtId="0" fontId="30" fillId="18" borderId="57" xfId="0" applyFont="1" applyFill="1" applyBorder="1" applyAlignment="1">
      <alignment horizontal="center" vertical="center" wrapText="1"/>
    </xf>
    <xf numFmtId="0" fontId="30" fillId="18" borderId="58" xfId="0" applyFont="1" applyFill="1" applyBorder="1" applyAlignment="1">
      <alignment horizontal="center" vertical="center" wrapText="1"/>
    </xf>
    <xf numFmtId="0" fontId="14" fillId="13" borderId="68" xfId="0" applyFont="1" applyFill="1" applyBorder="1"/>
    <xf numFmtId="1" fontId="14" fillId="0" borderId="69" xfId="1" applyNumberFormat="1" applyFont="1" applyBorder="1"/>
    <xf numFmtId="165" fontId="14" fillId="0" borderId="69" xfId="1" applyFont="1" applyBorder="1"/>
    <xf numFmtId="0" fontId="30" fillId="18" borderId="60" xfId="0" applyFont="1" applyFill="1" applyBorder="1" applyAlignment="1">
      <alignment horizontal="center" vertical="center" wrapText="1"/>
    </xf>
    <xf numFmtId="0" fontId="35" fillId="12" borderId="59" xfId="0" applyFont="1" applyFill="1" applyBorder="1" applyAlignment="1">
      <alignment horizontal="center" vertical="center" wrapText="1"/>
    </xf>
    <xf numFmtId="0" fontId="35" fillId="12" borderId="60" xfId="0" applyFont="1" applyFill="1" applyBorder="1" applyAlignment="1">
      <alignment horizontal="center" vertical="center" wrapText="1"/>
    </xf>
    <xf numFmtId="0" fontId="35" fillId="12" borderId="70" xfId="0" applyFont="1" applyFill="1" applyBorder="1" applyAlignment="1">
      <alignment horizontal="center" vertical="center" wrapText="1"/>
    </xf>
    <xf numFmtId="0" fontId="35" fillId="33" borderId="74" xfId="0" applyFont="1" applyFill="1" applyBorder="1" applyAlignment="1">
      <alignment horizontal="center" vertical="center" wrapText="1"/>
    </xf>
    <xf numFmtId="0" fontId="35" fillId="33" borderId="14" xfId="0" applyFont="1" applyFill="1" applyBorder="1" applyAlignment="1">
      <alignment horizontal="center" vertical="center" wrapText="1"/>
    </xf>
    <xf numFmtId="0" fontId="25" fillId="0" borderId="72" xfId="0" applyFont="1" applyBorder="1" applyAlignment="1">
      <alignment horizontal="center" vertical="center" wrapText="1"/>
    </xf>
    <xf numFmtId="44" fontId="14" fillId="0" borderId="57" xfId="17" applyFont="1" applyBorder="1"/>
    <xf numFmtId="165" fontId="14" fillId="0" borderId="58" xfId="1" applyFont="1" applyBorder="1"/>
    <xf numFmtId="0" fontId="25" fillId="0" borderId="0" xfId="0" applyFont="1" applyProtection="1">
      <protection hidden="1"/>
    </xf>
    <xf numFmtId="0" fontId="10" fillId="0" borderId="0" xfId="0" applyFont="1" applyAlignment="1" applyProtection="1">
      <alignment vertical="center"/>
      <protection hidden="1"/>
    </xf>
    <xf numFmtId="0" fontId="14" fillId="0" borderId="0" xfId="0" applyFont="1" applyProtection="1">
      <protection locked="0"/>
    </xf>
    <xf numFmtId="0" fontId="25" fillId="0" borderId="0" xfId="0" applyFont="1" applyAlignment="1" applyProtection="1">
      <alignment horizontal="right"/>
      <protection locked="0"/>
    </xf>
    <xf numFmtId="0" fontId="14" fillId="0" borderId="73" xfId="0" applyFont="1" applyBorder="1" applyProtection="1">
      <protection hidden="1"/>
    </xf>
    <xf numFmtId="0" fontId="14" fillId="0" borderId="77" xfId="0" applyFont="1" applyBorder="1" applyProtection="1">
      <protection hidden="1"/>
    </xf>
    <xf numFmtId="0" fontId="25" fillId="0" borderId="0" xfId="0" applyFont="1" applyAlignment="1" applyProtection="1">
      <alignment horizontal="center"/>
      <protection hidden="1"/>
    </xf>
    <xf numFmtId="0" fontId="36" fillId="0" borderId="0" xfId="0" applyFont="1" applyProtection="1">
      <protection hidden="1"/>
    </xf>
    <xf numFmtId="0" fontId="25" fillId="10" borderId="4" xfId="0" applyFont="1" applyFill="1" applyBorder="1" applyAlignment="1" applyProtection="1">
      <alignment horizontal="center" vertical="center"/>
      <protection hidden="1"/>
    </xf>
    <xf numFmtId="167" fontId="27" fillId="0" borderId="0" xfId="4" applyNumberFormat="1" applyFont="1" applyAlignment="1" applyProtection="1">
      <alignment horizontal="center" vertical="center"/>
      <protection locked="0"/>
    </xf>
    <xf numFmtId="167" fontId="27" fillId="16" borderId="0" xfId="4" applyNumberFormat="1" applyFont="1" applyFill="1" applyAlignment="1" applyProtection="1">
      <alignment horizontal="center" vertical="center"/>
      <protection locked="0"/>
    </xf>
    <xf numFmtId="174" fontId="14" fillId="0" borderId="0" xfId="1" applyNumberFormat="1" applyFont="1" applyProtection="1">
      <protection hidden="1"/>
    </xf>
    <xf numFmtId="0" fontId="14" fillId="0" borderId="0" xfId="0" quotePrefix="1" applyFont="1" applyProtection="1">
      <protection hidden="1"/>
    </xf>
    <xf numFmtId="0" fontId="14" fillId="0" borderId="0" xfId="0" applyFont="1" applyAlignment="1" applyProtection="1">
      <alignment horizontal="center"/>
      <protection hidden="1"/>
    </xf>
    <xf numFmtId="173" fontId="27" fillId="0" borderId="0" xfId="2" applyNumberFormat="1" applyFont="1" applyAlignment="1" applyProtection="1">
      <alignment horizontal="center" vertical="center"/>
      <protection locked="0"/>
    </xf>
    <xf numFmtId="9" fontId="27" fillId="16" borderId="0" xfId="2" applyFont="1" applyFill="1" applyAlignment="1" applyProtection="1">
      <alignment horizontal="center" vertical="center"/>
      <protection locked="0"/>
    </xf>
    <xf numFmtId="9" fontId="27" fillId="0" borderId="0" xfId="2" applyFont="1" applyAlignment="1" applyProtection="1">
      <alignment horizontal="center" vertical="center"/>
      <protection locked="0"/>
    </xf>
    <xf numFmtId="10" fontId="27" fillId="16" borderId="0" xfId="2" applyNumberFormat="1" applyFont="1" applyFill="1" applyAlignment="1" applyProtection="1">
      <alignment horizontal="center" vertical="center"/>
      <protection locked="0"/>
    </xf>
    <xf numFmtId="10" fontId="27" fillId="0" borderId="0" xfId="2" applyNumberFormat="1" applyFont="1" applyAlignment="1" applyProtection="1">
      <alignment horizontal="center" vertical="center"/>
      <protection locked="0"/>
    </xf>
    <xf numFmtId="164" fontId="22" fillId="0" borderId="0" xfId="14" applyFont="1" applyFill="1" applyBorder="1" applyAlignment="1" applyProtection="1">
      <protection hidden="1"/>
    </xf>
    <xf numFmtId="0" fontId="14" fillId="0" borderId="0" xfId="0" applyFont="1" applyAlignment="1" applyProtection="1">
      <alignment horizontal="justify" vertical="top" wrapText="1"/>
      <protection locked="0"/>
    </xf>
    <xf numFmtId="0" fontId="14" fillId="0" borderId="0" xfId="0" applyFont="1" applyAlignment="1" applyProtection="1">
      <alignment horizontal="right" vertical="top"/>
      <protection locked="0"/>
    </xf>
    <xf numFmtId="175" fontId="14" fillId="0" borderId="0" xfId="14" applyNumberFormat="1" applyFont="1" applyFill="1" applyBorder="1" applyAlignment="1" applyProtection="1">
      <alignment horizontal="justify" vertical="top" wrapText="1"/>
      <protection locked="0"/>
    </xf>
    <xf numFmtId="9" fontId="27" fillId="0" borderId="0" xfId="2" applyFont="1" applyAlignment="1" applyProtection="1">
      <alignment horizontal="right" vertical="center"/>
      <protection locked="0"/>
    </xf>
    <xf numFmtId="167" fontId="42" fillId="0" borderId="0" xfId="4" applyNumberFormat="1" applyFont="1" applyAlignment="1" applyProtection="1">
      <alignment horizontal="center" vertical="center"/>
      <protection locked="0"/>
    </xf>
    <xf numFmtId="1" fontId="42" fillId="16" borderId="0" xfId="2" applyNumberFormat="1" applyFont="1" applyFill="1" applyAlignment="1" applyProtection="1">
      <alignment horizontal="center" vertical="center"/>
      <protection locked="0"/>
    </xf>
    <xf numFmtId="1" fontId="42" fillId="0" borderId="0" xfId="2" applyNumberFormat="1" applyFont="1" applyAlignment="1" applyProtection="1">
      <alignment horizontal="center" vertical="center"/>
      <protection locked="0"/>
    </xf>
    <xf numFmtId="0" fontId="25" fillId="0" borderId="0" xfId="0" applyFont="1" applyAlignment="1" applyProtection="1">
      <alignment horizontal="right" vertical="top" wrapText="1"/>
      <protection locked="0"/>
    </xf>
    <xf numFmtId="9" fontId="25" fillId="0" borderId="0" xfId="0" applyNumberFormat="1" applyFont="1" applyAlignment="1" applyProtection="1">
      <alignment horizontal="right" vertical="top" wrapText="1"/>
      <protection locked="0"/>
    </xf>
    <xf numFmtId="0" fontId="25" fillId="0" borderId="0" xfId="0" applyFont="1" applyAlignment="1" applyProtection="1">
      <alignment horizontal="right"/>
      <protection hidden="1"/>
    </xf>
    <xf numFmtId="175" fontId="25" fillId="0" borderId="0" xfId="0" applyNumberFormat="1" applyFont="1" applyAlignment="1" applyProtection="1">
      <alignment horizontal="right"/>
      <protection hidden="1"/>
    </xf>
    <xf numFmtId="10" fontId="27" fillId="0" borderId="36" xfId="2" applyNumberFormat="1" applyFont="1" applyBorder="1" applyAlignment="1" applyProtection="1">
      <alignment horizontal="center" vertical="center"/>
      <protection locked="0"/>
    </xf>
    <xf numFmtId="0" fontId="14" fillId="0" borderId="36" xfId="0" applyFont="1" applyBorder="1" applyProtection="1">
      <protection hidden="1"/>
    </xf>
    <xf numFmtId="0" fontId="19" fillId="0" borderId="0" xfId="0" applyFont="1" applyAlignment="1" applyProtection="1">
      <alignment horizontal="right" vertical="top" wrapText="1"/>
      <protection locked="0"/>
    </xf>
    <xf numFmtId="9" fontId="19" fillId="0" borderId="0" xfId="0" applyNumberFormat="1" applyFont="1" applyAlignment="1" applyProtection="1">
      <alignment horizontal="right" vertical="top" wrapText="1"/>
      <protection locked="0"/>
    </xf>
    <xf numFmtId="167" fontId="27" fillId="9" borderId="0" xfId="4" applyNumberFormat="1" applyFont="1" applyFill="1" applyAlignment="1" applyProtection="1">
      <alignment horizontal="center" vertical="center"/>
      <protection locked="0"/>
    </xf>
    <xf numFmtId="175" fontId="19" fillId="0" borderId="0" xfId="14" applyNumberFormat="1" applyFont="1" applyFill="1" applyBorder="1" applyAlignment="1" applyProtection="1">
      <alignment horizontal="right" vertical="top" wrapText="1"/>
      <protection locked="0"/>
    </xf>
    <xf numFmtId="0" fontId="21" fillId="0" borderId="0" xfId="0" applyFont="1" applyAlignment="1" applyProtection="1">
      <alignment horizontal="center"/>
      <protection hidden="1"/>
    </xf>
    <xf numFmtId="9" fontId="14" fillId="0" borderId="0" xfId="0" applyNumberFormat="1" applyFont="1" applyAlignment="1" applyProtection="1">
      <alignment horizontal="center"/>
      <protection hidden="1"/>
    </xf>
    <xf numFmtId="9" fontId="27" fillId="0" borderId="0" xfId="0" applyNumberFormat="1" applyFont="1" applyAlignment="1" applyProtection="1">
      <alignment horizontal="center"/>
      <protection hidden="1"/>
    </xf>
    <xf numFmtId="0" fontId="25" fillId="0" borderId="0" xfId="0" applyFont="1" applyAlignment="1" applyProtection="1">
      <alignment horizontal="left"/>
      <protection hidden="1"/>
    </xf>
    <xf numFmtId="10" fontId="27" fillId="0" borderId="0" xfId="0" applyNumberFormat="1" applyFont="1" applyAlignment="1" applyProtection="1">
      <alignment horizontal="center"/>
      <protection hidden="1"/>
    </xf>
    <xf numFmtId="172" fontId="27" fillId="0" borderId="0" xfId="2" applyNumberFormat="1" applyFont="1" applyAlignment="1" applyProtection="1">
      <alignment horizontal="center" vertical="center"/>
      <protection locked="0"/>
    </xf>
    <xf numFmtId="9" fontId="25" fillId="0" borderId="0" xfId="0" applyNumberFormat="1" applyFont="1" applyAlignment="1" applyProtection="1">
      <alignment horizontal="center"/>
      <protection hidden="1"/>
    </xf>
    <xf numFmtId="170" fontId="27" fillId="0" borderId="0" xfId="2" applyNumberFormat="1" applyFont="1" applyAlignment="1" applyProtection="1">
      <alignment horizontal="center" vertical="center"/>
      <protection locked="0"/>
    </xf>
    <xf numFmtId="167" fontId="27" fillId="21" borderId="0" xfId="4" applyNumberFormat="1" applyFont="1" applyFill="1" applyAlignment="1" applyProtection="1">
      <alignment horizontal="center" vertical="center"/>
      <protection locked="0"/>
    </xf>
    <xf numFmtId="171" fontId="14" fillId="0" borderId="0" xfId="1" applyNumberFormat="1" applyFont="1" applyProtection="1">
      <protection hidden="1"/>
    </xf>
    <xf numFmtId="9" fontId="27" fillId="0" borderId="19" xfId="2" applyFont="1" applyBorder="1" applyAlignment="1" applyProtection="1">
      <alignment horizontal="center" vertical="center"/>
      <protection locked="0"/>
    </xf>
    <xf numFmtId="9" fontId="14" fillId="0" borderId="0" xfId="2" applyFont="1" applyFill="1" applyBorder="1" applyAlignment="1" applyProtection="1">
      <alignment horizontal="center"/>
      <protection locked="0" hidden="1"/>
    </xf>
    <xf numFmtId="175" fontId="14" fillId="0" borderId="0" xfId="15" applyNumberFormat="1" applyFont="1" applyFill="1" applyBorder="1" applyProtection="1">
      <protection hidden="1"/>
    </xf>
    <xf numFmtId="0" fontId="25" fillId="0" borderId="0" xfId="0" applyFont="1" applyAlignment="1" applyProtection="1">
      <alignment horizontal="center" vertical="center"/>
      <protection hidden="1"/>
    </xf>
    <xf numFmtId="0" fontId="25" fillId="0" borderId="0" xfId="0" applyFont="1" applyAlignment="1" applyProtection="1">
      <alignment horizontal="center" vertical="center" wrapText="1"/>
      <protection hidden="1"/>
    </xf>
    <xf numFmtId="9" fontId="14" fillId="0" borderId="0" xfId="2" applyFont="1" applyFill="1" applyBorder="1" applyAlignment="1" applyProtection="1">
      <alignment horizontal="center"/>
      <protection hidden="1"/>
    </xf>
    <xf numFmtId="0" fontId="14" fillId="0" borderId="16" xfId="0" applyFont="1" applyBorder="1" applyProtection="1">
      <protection hidden="1"/>
    </xf>
    <xf numFmtId="167" fontId="27" fillId="0" borderId="0" xfId="4" applyNumberFormat="1" applyFont="1" applyAlignment="1" applyProtection="1">
      <alignment vertical="center"/>
      <protection locked="0"/>
    </xf>
    <xf numFmtId="0" fontId="27" fillId="0" borderId="0" xfId="5" applyFont="1" applyAlignment="1" applyProtection="1">
      <alignment vertical="center"/>
      <protection locked="0"/>
    </xf>
    <xf numFmtId="167" fontId="13" fillId="0" borderId="0" xfId="4" applyNumberFormat="1" applyFont="1" applyAlignment="1" applyProtection="1">
      <alignment horizontal="center" vertical="center" wrapText="1"/>
      <protection locked="0"/>
    </xf>
    <xf numFmtId="174" fontId="13" fillId="0" borderId="0" xfId="1" applyNumberFormat="1" applyFont="1" applyAlignment="1" applyProtection="1">
      <alignment horizontal="center" vertical="center" wrapText="1"/>
      <protection locked="0"/>
    </xf>
    <xf numFmtId="49" fontId="13" fillId="7" borderId="48"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wrapText="1"/>
      <protection locked="0"/>
    </xf>
    <xf numFmtId="49" fontId="13" fillId="7" borderId="11" xfId="4" applyNumberFormat="1" applyFont="1" applyFill="1" applyBorder="1" applyAlignment="1" applyProtection="1">
      <alignment horizontal="center" vertical="center"/>
      <protection locked="0"/>
    </xf>
    <xf numFmtId="49" fontId="13" fillId="7" borderId="12" xfId="4" applyNumberFormat="1" applyFont="1" applyFill="1" applyBorder="1" applyAlignment="1" applyProtection="1">
      <alignment horizontal="center" vertical="center"/>
      <protection locked="0"/>
    </xf>
    <xf numFmtId="14" fontId="13" fillId="7" borderId="21" xfId="4" applyNumberFormat="1" applyFont="1" applyFill="1" applyBorder="1" applyAlignment="1" applyProtection="1">
      <alignment horizontal="center" vertical="center" wrapText="1"/>
      <protection locked="0"/>
    </xf>
    <xf numFmtId="14" fontId="13" fillId="7" borderId="4" xfId="4" applyNumberFormat="1" applyFont="1" applyFill="1" applyBorder="1" applyAlignment="1" applyProtection="1">
      <alignment horizontal="center" vertical="center" wrapText="1"/>
      <protection locked="0"/>
    </xf>
    <xf numFmtId="14" fontId="13" fillId="7" borderId="17" xfId="4" applyNumberFormat="1" applyFont="1" applyFill="1" applyBorder="1" applyAlignment="1" applyProtection="1">
      <alignment horizontal="center" vertical="center" wrapText="1"/>
      <protection locked="0"/>
    </xf>
    <xf numFmtId="49" fontId="13" fillId="7" borderId="21" xfId="4" applyNumberFormat="1" applyFont="1" applyFill="1" applyBorder="1" applyAlignment="1" applyProtection="1">
      <alignment horizontal="center" vertical="center" wrapText="1"/>
      <protection locked="0"/>
    </xf>
    <xf numFmtId="165" fontId="13" fillId="7" borderId="21" xfId="1" applyFont="1" applyFill="1" applyBorder="1" applyAlignment="1" applyProtection="1">
      <alignment horizontal="center" vertical="center" wrapText="1"/>
      <protection locked="0"/>
    </xf>
    <xf numFmtId="165" fontId="13" fillId="7" borderId="4" xfId="1" applyFont="1" applyFill="1" applyBorder="1" applyAlignment="1" applyProtection="1">
      <alignment horizontal="center" vertical="center" wrapText="1"/>
      <protection locked="0"/>
    </xf>
    <xf numFmtId="165" fontId="13" fillId="7" borderId="17" xfId="1" applyFont="1" applyFill="1" applyBorder="1" applyAlignment="1" applyProtection="1">
      <alignment horizontal="center" vertical="center" wrapText="1"/>
      <protection locked="0"/>
    </xf>
    <xf numFmtId="168" fontId="13" fillId="8" borderId="21" xfId="4" applyNumberFormat="1" applyFont="1" applyFill="1" applyBorder="1" applyAlignment="1" applyProtection="1">
      <alignment horizontal="center" vertical="center" wrapText="1"/>
      <protection locked="0"/>
    </xf>
    <xf numFmtId="168" fontId="13" fillId="8" borderId="4" xfId="4" applyNumberFormat="1" applyFont="1" applyFill="1" applyBorder="1" applyAlignment="1" applyProtection="1">
      <alignment horizontal="center" vertical="center" wrapText="1"/>
      <protection locked="0"/>
    </xf>
    <xf numFmtId="168" fontId="13" fillId="8" borderId="17" xfId="4" applyNumberFormat="1" applyFont="1" applyFill="1" applyBorder="1" applyAlignment="1" applyProtection="1">
      <alignment horizontal="center" vertical="center" wrapText="1"/>
      <protection locked="0"/>
    </xf>
    <xf numFmtId="167" fontId="9" fillId="7" borderId="21" xfId="4" applyNumberFormat="1" applyFont="1" applyFill="1" applyBorder="1" applyAlignment="1" applyProtection="1">
      <alignment horizontal="center" vertical="center" wrapText="1"/>
      <protection locked="0"/>
    </xf>
    <xf numFmtId="167" fontId="9" fillId="7" borderId="4" xfId="4" applyNumberFormat="1" applyFont="1" applyFill="1" applyBorder="1" applyAlignment="1" applyProtection="1">
      <alignment horizontal="center" vertical="center" wrapText="1"/>
      <protection locked="0"/>
    </xf>
    <xf numFmtId="167" fontId="9" fillId="7" borderId="17" xfId="4" applyNumberFormat="1" applyFont="1" applyFill="1" applyBorder="1" applyAlignment="1" applyProtection="1">
      <alignment horizontal="center" vertical="center" wrapText="1"/>
      <protection locked="0"/>
    </xf>
    <xf numFmtId="167" fontId="13" fillId="7" borderId="21" xfId="4" applyNumberFormat="1" applyFont="1" applyFill="1" applyBorder="1" applyAlignment="1" applyProtection="1">
      <alignment horizontal="center" vertical="center" wrapText="1"/>
      <protection locked="0"/>
    </xf>
    <xf numFmtId="10" fontId="13" fillId="6" borderId="21" xfId="7" applyNumberFormat="1" applyFont="1" applyFill="1" applyBorder="1" applyAlignment="1" applyProtection="1">
      <alignment horizontal="center" vertical="center" wrapText="1"/>
      <protection hidden="1"/>
    </xf>
    <xf numFmtId="10" fontId="13" fillId="6" borderId="4" xfId="7" applyNumberFormat="1" applyFont="1" applyFill="1" applyBorder="1" applyAlignment="1" applyProtection="1">
      <alignment horizontal="center" vertical="center" wrapText="1"/>
      <protection hidden="1"/>
    </xf>
    <xf numFmtId="170" fontId="13" fillId="6" borderId="21" xfId="7" applyNumberFormat="1" applyFont="1" applyFill="1" applyBorder="1" applyAlignment="1" applyProtection="1">
      <alignment horizontal="center" vertical="center" wrapText="1"/>
      <protection locked="0"/>
    </xf>
    <xf numFmtId="170" fontId="13" fillId="6" borderId="4" xfId="7" applyNumberFormat="1" applyFont="1" applyFill="1" applyBorder="1" applyAlignment="1" applyProtection="1">
      <alignment horizontal="center" vertical="center" wrapText="1"/>
      <protection locked="0"/>
    </xf>
    <xf numFmtId="170" fontId="13" fillId="6" borderId="17" xfId="7" applyNumberFormat="1" applyFont="1" applyFill="1" applyBorder="1" applyAlignment="1" applyProtection="1">
      <alignment horizontal="center" vertical="center" wrapText="1"/>
      <protection locked="0"/>
    </xf>
    <xf numFmtId="171" fontId="13" fillId="12" borderId="21" xfId="7" applyNumberFormat="1" applyFont="1" applyFill="1" applyBorder="1" applyAlignment="1" applyProtection="1">
      <alignment horizontal="center" vertical="center" wrapText="1"/>
      <protection locked="0"/>
    </xf>
    <xf numFmtId="171" fontId="13" fillId="12" borderId="4" xfId="7" applyNumberFormat="1" applyFont="1" applyFill="1" applyBorder="1" applyAlignment="1" applyProtection="1">
      <alignment horizontal="center" vertical="center" wrapText="1"/>
      <protection locked="0"/>
    </xf>
    <xf numFmtId="171" fontId="13" fillId="12" borderId="17" xfId="7" applyNumberFormat="1" applyFont="1" applyFill="1" applyBorder="1" applyAlignment="1" applyProtection="1">
      <alignment horizontal="center" vertical="center" wrapText="1"/>
      <protection locked="0"/>
    </xf>
    <xf numFmtId="0" fontId="13" fillId="12" borderId="18" xfId="7" applyNumberFormat="1" applyFont="1" applyFill="1" applyBorder="1" applyAlignment="1" applyProtection="1">
      <alignment horizontal="center" vertical="center" wrapText="1"/>
      <protection locked="0"/>
    </xf>
    <xf numFmtId="0" fontId="13" fillId="12" borderId="22" xfId="7" applyNumberFormat="1" applyFont="1" applyFill="1" applyBorder="1" applyAlignment="1" applyProtection="1">
      <alignment horizontal="center" vertical="center" wrapText="1"/>
      <protection locked="0"/>
    </xf>
    <xf numFmtId="0" fontId="13" fillId="12" borderId="23" xfId="7" applyNumberFormat="1" applyFont="1" applyFill="1" applyBorder="1" applyAlignment="1" applyProtection="1">
      <alignment horizontal="center" vertical="center" wrapText="1"/>
      <protection locked="0"/>
    </xf>
    <xf numFmtId="49" fontId="44" fillId="0" borderId="0" xfId="5" applyNumberFormat="1" applyFont="1" applyAlignment="1">
      <alignment horizontal="left" vertical="center" wrapText="1"/>
    </xf>
    <xf numFmtId="171" fontId="13" fillId="0" borderId="0" xfId="7" applyNumberFormat="1" applyFont="1" applyFill="1" applyBorder="1" applyAlignment="1" applyProtection="1">
      <alignment horizontal="center" vertical="center" wrapText="1"/>
    </xf>
    <xf numFmtId="170" fontId="13" fillId="0" borderId="0" xfId="7" applyNumberFormat="1" applyFont="1" applyFill="1" applyBorder="1" applyAlignment="1" applyProtection="1">
      <alignment horizontal="center" vertical="center" wrapText="1"/>
    </xf>
    <xf numFmtId="170" fontId="45" fillId="7" borderId="6" xfId="7" applyNumberFormat="1" applyFont="1" applyFill="1" applyBorder="1" applyAlignment="1" applyProtection="1">
      <alignment horizontal="center" vertical="center" wrapText="1"/>
    </xf>
    <xf numFmtId="170" fontId="45" fillId="7" borderId="7" xfId="7" applyNumberFormat="1" applyFont="1" applyFill="1" applyBorder="1" applyAlignment="1" applyProtection="1">
      <alignment horizontal="center" vertical="center" wrapText="1"/>
    </xf>
    <xf numFmtId="170" fontId="45" fillId="7" borderId="8" xfId="7" applyNumberFormat="1" applyFont="1" applyFill="1" applyBorder="1" applyAlignment="1" applyProtection="1">
      <alignment horizontal="center" vertical="center" wrapText="1"/>
    </xf>
    <xf numFmtId="0" fontId="47" fillId="18" borderId="4" xfId="0" applyFont="1" applyFill="1" applyBorder="1" applyAlignment="1">
      <alignment vertical="center" wrapText="1"/>
    </xf>
    <xf numFmtId="0" fontId="9" fillId="11" borderId="4" xfId="8" applyFont="1" applyFill="1" applyBorder="1" applyAlignment="1" applyProtection="1">
      <alignment horizontal="center" vertical="center" wrapText="1"/>
    </xf>
    <xf numFmtId="0" fontId="47" fillId="18" borderId="9" xfId="0" applyFont="1" applyFill="1" applyBorder="1" applyAlignment="1">
      <alignment horizontal="justify" vertical="center" wrapText="1"/>
    </xf>
    <xf numFmtId="9" fontId="9" fillId="11" borderId="10" xfId="7" applyFont="1" applyFill="1" applyBorder="1" applyAlignment="1" applyProtection="1">
      <alignment horizontal="center" vertical="center"/>
      <protection locked="0"/>
    </xf>
    <xf numFmtId="9" fontId="9" fillId="11" borderId="11" xfId="7" applyFont="1" applyFill="1" applyBorder="1" applyAlignment="1" applyProtection="1">
      <alignment horizontal="center" vertical="center"/>
      <protection locked="0"/>
    </xf>
    <xf numFmtId="9" fontId="9" fillId="11" borderId="12" xfId="7" applyFont="1" applyFill="1" applyBorder="1" applyAlignment="1" applyProtection="1">
      <alignment horizontal="center" vertical="center"/>
      <protection locked="0"/>
    </xf>
    <xf numFmtId="9" fontId="9" fillId="11" borderId="16" xfId="7" applyFont="1" applyFill="1" applyBorder="1" applyAlignment="1" applyProtection="1">
      <alignment horizontal="center" vertical="center"/>
      <protection locked="0"/>
    </xf>
    <xf numFmtId="9" fontId="9" fillId="11" borderId="4" xfId="7" applyFont="1" applyFill="1" applyBorder="1" applyAlignment="1" applyProtection="1">
      <alignment horizontal="center" vertical="center"/>
      <protection locked="0"/>
    </xf>
    <xf numFmtId="9" fontId="9" fillId="11" borderId="17" xfId="7" applyFont="1" applyFill="1" applyBorder="1" applyAlignment="1" applyProtection="1">
      <alignment horizontal="center" vertical="center"/>
      <protection locked="0"/>
    </xf>
    <xf numFmtId="0" fontId="9" fillId="8" borderId="4" xfId="8" applyFont="1" applyFill="1" applyBorder="1" applyAlignment="1" applyProtection="1">
      <alignment horizontal="center" vertical="center" wrapText="1"/>
    </xf>
    <xf numFmtId="0" fontId="47" fillId="8" borderId="9" xfId="0" applyFont="1" applyFill="1" applyBorder="1" applyAlignment="1">
      <alignment horizontal="justify" vertical="center" wrapText="1"/>
    </xf>
    <xf numFmtId="0" fontId="47" fillId="8" borderId="28" xfId="0" applyFont="1" applyFill="1" applyBorder="1" applyAlignment="1">
      <alignment vertical="center" wrapText="1"/>
    </xf>
    <xf numFmtId="0" fontId="9" fillId="12" borderId="4" xfId="8" applyFont="1" applyFill="1" applyBorder="1" applyAlignment="1" applyProtection="1">
      <alignment horizontal="center" vertical="center" wrapText="1"/>
    </xf>
    <xf numFmtId="0" fontId="47" fillId="19" borderId="9" xfId="0" applyFont="1" applyFill="1" applyBorder="1" applyAlignment="1">
      <alignment horizontal="justify" vertical="center" wrapText="1"/>
    </xf>
    <xf numFmtId="9" fontId="9" fillId="12" borderId="16" xfId="7" applyFont="1" applyFill="1" applyBorder="1" applyAlignment="1" applyProtection="1">
      <alignment horizontal="center" vertical="center"/>
      <protection locked="0"/>
    </xf>
    <xf numFmtId="9" fontId="9" fillId="12" borderId="4" xfId="7" applyFont="1" applyFill="1" applyBorder="1" applyAlignment="1" applyProtection="1">
      <alignment horizontal="center" vertical="center"/>
      <protection locked="0"/>
    </xf>
    <xf numFmtId="9" fontId="9" fillId="12" borderId="17" xfId="7" applyFont="1" applyFill="1" applyBorder="1" applyAlignment="1" applyProtection="1">
      <alignment horizontal="center" vertical="center"/>
      <protection locked="0"/>
    </xf>
    <xf numFmtId="0" fontId="47" fillId="19" borderId="4" xfId="0" applyFont="1" applyFill="1" applyBorder="1" applyAlignment="1">
      <alignment vertical="center" wrapText="1"/>
    </xf>
    <xf numFmtId="0" fontId="9" fillId="6" borderId="4" xfId="8" applyFont="1" applyFill="1" applyBorder="1" applyAlignment="1" applyProtection="1">
      <alignment horizontal="center" vertical="center" wrapText="1"/>
    </xf>
    <xf numFmtId="9" fontId="9" fillId="6" borderId="16" xfId="7" applyFont="1" applyFill="1" applyBorder="1" applyAlignment="1" applyProtection="1">
      <alignment horizontal="center" vertical="center"/>
      <protection locked="0"/>
    </xf>
    <xf numFmtId="9" fontId="9" fillId="6" borderId="4" xfId="7" applyFont="1" applyFill="1" applyBorder="1" applyAlignment="1" applyProtection="1">
      <alignment horizontal="center" vertical="center"/>
      <protection locked="0"/>
    </xf>
    <xf numFmtId="9" fontId="9" fillId="6" borderId="17" xfId="7" applyFont="1" applyFill="1" applyBorder="1" applyAlignment="1" applyProtection="1">
      <alignment horizontal="center" vertical="center"/>
      <protection locked="0"/>
    </xf>
    <xf numFmtId="0" fontId="9" fillId="6" borderId="9" xfId="8" applyFont="1" applyFill="1" applyBorder="1" applyAlignment="1" applyProtection="1">
      <alignment horizontal="justify" vertical="center" wrapText="1"/>
      <protection locked="0"/>
    </xf>
    <xf numFmtId="0" fontId="9" fillId="6" borderId="22" xfId="8" applyFont="1" applyFill="1" applyBorder="1" applyAlignment="1" applyProtection="1">
      <alignment horizontal="center" vertical="center" wrapText="1"/>
    </xf>
    <xf numFmtId="0" fontId="9" fillId="6" borderId="32" xfId="8" applyFont="1" applyFill="1" applyBorder="1" applyAlignment="1" applyProtection="1">
      <alignment horizontal="justify" vertical="center" wrapText="1"/>
      <protection locked="0"/>
    </xf>
    <xf numFmtId="9" fontId="9" fillId="6" borderId="25" xfId="7" applyFont="1" applyFill="1" applyBorder="1" applyAlignment="1" applyProtection="1">
      <alignment horizontal="center" vertical="center"/>
      <protection locked="0"/>
    </xf>
    <xf numFmtId="9" fontId="9" fillId="6" borderId="22" xfId="7" applyFont="1" applyFill="1" applyBorder="1" applyAlignment="1" applyProtection="1">
      <alignment horizontal="center" vertical="center"/>
      <protection locked="0"/>
    </xf>
    <xf numFmtId="9" fontId="9" fillId="6" borderId="23" xfId="7" applyFont="1" applyFill="1" applyBorder="1" applyAlignment="1" applyProtection="1">
      <alignment horizontal="center" vertical="center"/>
      <protection locked="0"/>
    </xf>
    <xf numFmtId="0" fontId="49" fillId="0" borderId="0" xfId="5" applyFont="1" applyAlignment="1" applyProtection="1">
      <alignment vertical="center"/>
      <protection locked="0"/>
    </xf>
    <xf numFmtId="0" fontId="49" fillId="0" borderId="0" xfId="5" applyFont="1" applyAlignment="1" applyProtection="1">
      <alignment horizontal="center" vertical="center"/>
      <protection locked="0"/>
    </xf>
    <xf numFmtId="167" fontId="49" fillId="0" borderId="0" xfId="4" applyNumberFormat="1" applyFont="1" applyAlignment="1" applyProtection="1">
      <alignment horizontal="center" vertical="center"/>
      <protection locked="0"/>
    </xf>
    <xf numFmtId="167" fontId="49" fillId="0" borderId="0" xfId="4" applyNumberFormat="1" applyFont="1" applyAlignment="1" applyProtection="1">
      <alignment vertical="center"/>
      <protection locked="0"/>
    </xf>
    <xf numFmtId="0" fontId="13" fillId="0" borderId="4" xfId="5" applyFont="1" applyBorder="1" applyAlignment="1" applyProtection="1">
      <alignment vertical="center"/>
      <protection hidden="1"/>
    </xf>
    <xf numFmtId="10" fontId="13" fillId="0" borderId="4" xfId="7" applyNumberFormat="1" applyFont="1" applyBorder="1" applyAlignment="1" applyProtection="1">
      <alignment horizontal="center" vertical="center"/>
      <protection hidden="1"/>
    </xf>
    <xf numFmtId="0" fontId="49" fillId="0" borderId="0" xfId="5" applyFont="1" applyAlignment="1" applyProtection="1">
      <alignment vertical="center"/>
      <protection hidden="1"/>
    </xf>
    <xf numFmtId="0" fontId="13" fillId="0" borderId="0" xfId="5" applyFont="1" applyAlignment="1" applyProtection="1">
      <alignment vertical="center"/>
      <protection hidden="1"/>
    </xf>
    <xf numFmtId="167" fontId="13" fillId="0" borderId="0" xfId="4" applyNumberFormat="1" applyFont="1" applyAlignment="1" applyProtection="1">
      <alignment horizontal="center" vertical="center"/>
      <protection hidden="1"/>
    </xf>
    <xf numFmtId="167" fontId="13" fillId="0" borderId="0" xfId="4" applyNumberFormat="1" applyFont="1" applyAlignment="1" applyProtection="1">
      <alignment vertical="center"/>
      <protection hidden="1"/>
    </xf>
    <xf numFmtId="0" fontId="27" fillId="0" borderId="0" xfId="5" applyFont="1" applyAlignment="1" applyProtection="1">
      <alignment vertical="center" wrapText="1"/>
      <protection locked="0"/>
    </xf>
    <xf numFmtId="0" fontId="27" fillId="0" borderId="0" xfId="5" applyFont="1" applyAlignment="1" applyProtection="1">
      <alignment horizontal="center" vertical="center" wrapText="1"/>
      <protection locked="0"/>
    </xf>
    <xf numFmtId="10" fontId="13" fillId="0" borderId="4" xfId="2" applyNumberFormat="1" applyFont="1" applyBorder="1" applyAlignment="1" applyProtection="1">
      <alignment horizontal="center" vertical="center" wrapText="1"/>
      <protection hidden="1"/>
    </xf>
    <xf numFmtId="10" fontId="13" fillId="0" borderId="0" xfId="5" applyNumberFormat="1" applyFont="1" applyAlignment="1" applyProtection="1">
      <alignment vertical="center"/>
      <protection hidden="1"/>
    </xf>
    <xf numFmtId="9" fontId="28" fillId="0" borderId="0" xfId="7" applyFont="1" applyAlignment="1" applyProtection="1">
      <alignment vertical="center" wrapText="1"/>
      <protection hidden="1"/>
    </xf>
    <xf numFmtId="167" fontId="27" fillId="0" borderId="0" xfId="4" applyNumberFormat="1" applyFont="1" applyAlignment="1" applyProtection="1">
      <alignment horizontal="center" vertical="center" wrapText="1"/>
      <protection hidden="1"/>
    </xf>
    <xf numFmtId="167" fontId="27" fillId="0" borderId="0" xfId="4" applyNumberFormat="1" applyFont="1" applyAlignment="1" applyProtection="1">
      <alignment vertical="center" wrapText="1"/>
      <protection hidden="1"/>
    </xf>
    <xf numFmtId="0" fontId="27" fillId="0" borderId="0" xfId="5" applyFont="1" applyAlignment="1" applyProtection="1">
      <alignment vertical="center" wrapText="1"/>
      <protection hidden="1"/>
    </xf>
    <xf numFmtId="169" fontId="27" fillId="0" borderId="0" xfId="4" applyNumberFormat="1" applyFont="1" applyAlignment="1" applyProtection="1">
      <alignment horizontal="center" vertical="center" wrapText="1"/>
      <protection locked="0"/>
    </xf>
    <xf numFmtId="169" fontId="27" fillId="0" borderId="0" xfId="4" applyNumberFormat="1" applyFont="1" applyAlignment="1" applyProtection="1">
      <alignment vertical="center" wrapText="1"/>
      <protection locked="0"/>
    </xf>
    <xf numFmtId="0" fontId="27" fillId="0" borderId="0" xfId="5" applyFont="1" applyAlignment="1" applyProtection="1">
      <alignment horizontal="center" vertical="center"/>
      <protection locked="0"/>
    </xf>
    <xf numFmtId="167" fontId="27" fillId="0" borderId="0" xfId="4" applyNumberFormat="1" applyFont="1" applyAlignment="1" applyProtection="1">
      <alignment horizontal="left" vertical="center"/>
      <protection locked="0"/>
    </xf>
    <xf numFmtId="9" fontId="27" fillId="0" borderId="0" xfId="2" applyFont="1" applyAlignment="1" applyProtection="1">
      <alignment horizontal="center" vertical="center"/>
    </xf>
    <xf numFmtId="171" fontId="27" fillId="0" borderId="0" xfId="5" applyNumberFormat="1" applyFont="1" applyAlignment="1" applyProtection="1">
      <alignment vertical="center"/>
      <protection locked="0"/>
    </xf>
    <xf numFmtId="167" fontId="13" fillId="0" borderId="0" xfId="4" applyNumberFormat="1" applyFont="1" applyBorder="1" applyAlignment="1" applyProtection="1">
      <alignment horizontal="center" vertical="center" wrapText="1"/>
      <protection locked="0"/>
    </xf>
    <xf numFmtId="0" fontId="47" fillId="6" borderId="9" xfId="0" applyFont="1" applyFill="1" applyBorder="1" applyAlignment="1" applyProtection="1">
      <alignment horizontal="justify" vertical="center" wrapText="1"/>
      <protection locked="0"/>
    </xf>
    <xf numFmtId="0" fontId="9" fillId="6" borderId="4" xfId="8" applyFont="1" applyFill="1" applyBorder="1" applyAlignment="1" applyProtection="1">
      <alignment horizontal="center" vertical="center" wrapText="1"/>
      <protection locked="0" hidden="1"/>
    </xf>
    <xf numFmtId="0" fontId="28" fillId="7" borderId="6" xfId="4" applyNumberFormat="1" applyFont="1" applyFill="1" applyBorder="1" applyAlignment="1" applyProtection="1">
      <alignment horizontal="center" vertical="center" wrapText="1"/>
    </xf>
    <xf numFmtId="0" fontId="28" fillId="7" borderId="7" xfId="4" applyNumberFormat="1" applyFont="1" applyFill="1" applyBorder="1" applyAlignment="1" applyProtection="1">
      <alignment horizontal="center" vertical="center" wrapText="1"/>
    </xf>
    <xf numFmtId="0" fontId="23" fillId="0" borderId="77" xfId="0" applyFont="1" applyBorder="1" applyAlignment="1" applyProtection="1">
      <alignment vertical="center"/>
      <protection locked="0" hidden="1"/>
    </xf>
    <xf numFmtId="0" fontId="41" fillId="0" borderId="77" xfId="0" applyFont="1" applyBorder="1" applyProtection="1">
      <protection locked="0" hidden="1"/>
    </xf>
    <xf numFmtId="0" fontId="27" fillId="0" borderId="0" xfId="5" applyFont="1" applyAlignment="1">
      <alignment vertical="center"/>
    </xf>
    <xf numFmtId="167" fontId="27" fillId="0" borderId="0" xfId="4" applyNumberFormat="1" applyFont="1" applyAlignment="1" applyProtection="1">
      <alignment horizontal="center" vertical="center"/>
    </xf>
    <xf numFmtId="167" fontId="27" fillId="0" borderId="0" xfId="4" applyNumberFormat="1" applyFont="1" applyAlignment="1" applyProtection="1">
      <alignment horizontal="left" vertical="center"/>
    </xf>
    <xf numFmtId="0" fontId="27" fillId="0" borderId="0" xfId="5" applyFont="1" applyAlignment="1">
      <alignment horizontal="center" vertical="center"/>
    </xf>
    <xf numFmtId="0" fontId="53" fillId="13" borderId="15" xfId="10" applyFont="1" applyFill="1" applyBorder="1" applyAlignment="1">
      <alignment vertical="center" wrapText="1"/>
    </xf>
    <xf numFmtId="0" fontId="14" fillId="0" borderId="0" xfId="9" applyFont="1" applyAlignment="1">
      <alignment vertical="center"/>
    </xf>
    <xf numFmtId="0" fontId="53" fillId="13" borderId="17" xfId="10" applyFont="1" applyFill="1" applyBorder="1" applyAlignment="1">
      <alignment vertical="center" wrapText="1"/>
    </xf>
    <xf numFmtId="0" fontId="53" fillId="13" borderId="33" xfId="10" applyFont="1" applyFill="1" applyBorder="1" applyAlignment="1">
      <alignment vertical="center" wrapText="1"/>
    </xf>
    <xf numFmtId="0" fontId="51" fillId="27" borderId="43" xfId="0" applyFont="1" applyFill="1" applyBorder="1" applyAlignment="1">
      <alignment horizontal="center" vertical="center" wrapText="1"/>
    </xf>
    <xf numFmtId="0" fontId="37" fillId="27" borderId="43" xfId="0" applyFont="1" applyFill="1" applyBorder="1" applyAlignment="1">
      <alignment horizontal="center" vertical="center" wrapText="1"/>
    </xf>
    <xf numFmtId="167" fontId="27" fillId="0" borderId="43" xfId="4" applyNumberFormat="1" applyFont="1" applyBorder="1" applyAlignment="1" applyProtection="1">
      <alignment horizontal="center" vertical="center"/>
    </xf>
    <xf numFmtId="0" fontId="53" fillId="13" borderId="13" xfId="10" applyFont="1" applyFill="1" applyBorder="1" applyAlignment="1">
      <alignment vertical="center" wrapText="1"/>
    </xf>
    <xf numFmtId="0" fontId="14" fillId="28" borderId="42" xfId="0" applyFont="1" applyFill="1" applyBorder="1" applyAlignment="1">
      <alignment vertical="center" wrapText="1"/>
    </xf>
    <xf numFmtId="0" fontId="40" fillId="28" borderId="42" xfId="0" applyFont="1" applyFill="1" applyBorder="1" applyAlignment="1">
      <alignment vertical="center"/>
    </xf>
    <xf numFmtId="0" fontId="14" fillId="0" borderId="42" xfId="0" applyFont="1" applyBorder="1" applyAlignment="1">
      <alignment vertical="center" wrapText="1"/>
    </xf>
    <xf numFmtId="0" fontId="40" fillId="0" borderId="42" xfId="0" applyFont="1" applyBorder="1" applyAlignment="1">
      <alignment vertical="center"/>
    </xf>
    <xf numFmtId="0" fontId="9" fillId="13" borderId="13" xfId="11" applyFill="1" applyBorder="1" applyAlignment="1">
      <alignment vertical="center" wrapText="1"/>
    </xf>
    <xf numFmtId="0" fontId="14" fillId="0" borderId="44" xfId="0" applyFont="1" applyBorder="1" applyAlignment="1">
      <alignment vertical="center" wrapText="1"/>
    </xf>
    <xf numFmtId="0" fontId="40" fillId="0" borderId="44" xfId="0" applyFont="1" applyBorder="1" applyAlignment="1">
      <alignment vertical="center"/>
    </xf>
    <xf numFmtId="0" fontId="9" fillId="13" borderId="17" xfId="11" applyFill="1" applyBorder="1" applyAlignment="1">
      <alignment vertical="center" wrapText="1"/>
    </xf>
    <xf numFmtId="0" fontId="53" fillId="13" borderId="23" xfId="10" applyFont="1" applyFill="1" applyBorder="1" applyAlignment="1">
      <alignment vertical="center" wrapText="1"/>
    </xf>
    <xf numFmtId="0" fontId="14" fillId="0" borderId="14" xfId="0" applyFont="1" applyBorder="1" applyProtection="1">
      <protection locked="0"/>
    </xf>
    <xf numFmtId="44" fontId="14" fillId="0" borderId="14" xfId="17" applyFont="1" applyBorder="1" applyProtection="1">
      <protection locked="0"/>
    </xf>
    <xf numFmtId="0" fontId="14" fillId="0" borderId="4" xfId="0" applyFont="1" applyBorder="1" applyProtection="1">
      <protection locked="0"/>
    </xf>
    <xf numFmtId="44" fontId="14" fillId="0" borderId="4" xfId="17" applyFont="1" applyBorder="1" applyProtection="1">
      <protection locked="0"/>
    </xf>
    <xf numFmtId="0" fontId="14" fillId="0" borderId="20" xfId="0" applyFont="1" applyBorder="1" applyProtection="1">
      <protection locked="0"/>
    </xf>
    <xf numFmtId="44" fontId="14" fillId="0" borderId="20" xfId="17" applyFont="1" applyBorder="1" applyProtection="1">
      <protection locked="0"/>
    </xf>
    <xf numFmtId="0" fontId="14" fillId="0" borderId="66" xfId="0" applyFont="1" applyBorder="1" applyProtection="1">
      <protection locked="0"/>
    </xf>
    <xf numFmtId="44" fontId="14" fillId="0" borderId="66" xfId="17" applyFont="1" applyBorder="1" applyProtection="1">
      <protection locked="0"/>
    </xf>
    <xf numFmtId="0" fontId="14" fillId="0" borderId="14" xfId="0" applyFont="1" applyBorder="1" applyAlignment="1" applyProtection="1">
      <alignment vertical="center"/>
      <protection locked="0"/>
    </xf>
    <xf numFmtId="44" fontId="14" fillId="0" borderId="60" xfId="17" applyFont="1" applyBorder="1" applyProtection="1">
      <protection locked="0"/>
    </xf>
    <xf numFmtId="0" fontId="14" fillId="0" borderId="4" xfId="0" applyFont="1" applyBorder="1" applyAlignment="1" applyProtection="1">
      <alignment vertical="center"/>
      <protection locked="0"/>
    </xf>
    <xf numFmtId="0" fontId="14" fillId="0" borderId="66" xfId="0" applyFont="1" applyBorder="1" applyAlignment="1" applyProtection="1">
      <alignment vertical="center"/>
      <protection locked="0"/>
    </xf>
    <xf numFmtId="44" fontId="14" fillId="0" borderId="63" xfId="17" applyFont="1" applyBorder="1" applyProtection="1">
      <protection locked="0"/>
    </xf>
    <xf numFmtId="44" fontId="14" fillId="0" borderId="64" xfId="17" applyFont="1" applyBorder="1" applyProtection="1">
      <protection locked="0"/>
    </xf>
    <xf numFmtId="44" fontId="14" fillId="0" borderId="67" xfId="17" applyFont="1" applyBorder="1" applyProtection="1">
      <protection locked="0"/>
    </xf>
    <xf numFmtId="44" fontId="14" fillId="0" borderId="63" xfId="17" applyFont="1" applyBorder="1" applyAlignment="1" applyProtection="1">
      <alignment vertical="center"/>
      <protection locked="0"/>
    </xf>
    <xf numFmtId="44" fontId="14" fillId="0" borderId="63" xfId="17" applyFont="1" applyFill="1" applyBorder="1" applyAlignment="1" applyProtection="1">
      <alignment vertical="center"/>
      <protection locked="0"/>
    </xf>
    <xf numFmtId="165" fontId="14" fillId="0" borderId="63" xfId="1" applyFont="1" applyBorder="1" applyProtection="1">
      <protection locked="0"/>
    </xf>
    <xf numFmtId="0" fontId="14" fillId="0" borderId="62" xfId="0" applyFont="1" applyBorder="1" applyAlignment="1" applyProtection="1">
      <alignment horizontal="center"/>
      <protection locked="0"/>
    </xf>
    <xf numFmtId="0" fontId="14" fillId="0" borderId="75" xfId="0" applyFont="1" applyBorder="1" applyAlignment="1" applyProtection="1">
      <alignment horizontal="center"/>
      <protection locked="0"/>
    </xf>
    <xf numFmtId="0" fontId="14" fillId="0" borderId="65" xfId="0" applyFont="1" applyBorder="1" applyAlignment="1" applyProtection="1">
      <alignment horizontal="center"/>
      <protection locked="0"/>
    </xf>
    <xf numFmtId="164" fontId="25" fillId="0" borderId="63" xfId="14" applyFont="1" applyBorder="1" applyAlignment="1" applyProtection="1">
      <alignment horizontal="center" vertical="center"/>
    </xf>
    <xf numFmtId="164" fontId="25" fillId="0" borderId="64" xfId="14" applyFont="1" applyBorder="1" applyAlignment="1" applyProtection="1">
      <alignment horizontal="center" vertical="center"/>
    </xf>
    <xf numFmtId="164" fontId="11" fillId="13" borderId="58" xfId="12" applyNumberFormat="1" applyFont="1" applyFill="1" applyBorder="1" applyAlignment="1" applyProtection="1">
      <alignment horizontal="left" vertical="center" wrapText="1"/>
    </xf>
    <xf numFmtId="0" fontId="23" fillId="22" borderId="20" xfId="12" applyFont="1" applyBorder="1" applyAlignment="1" applyProtection="1">
      <alignment horizontal="center" vertical="center" wrapText="1"/>
      <protection hidden="1"/>
    </xf>
    <xf numFmtId="9" fontId="47" fillId="8" borderId="16" xfId="2" applyFont="1" applyFill="1" applyBorder="1" applyAlignment="1" applyProtection="1">
      <alignment horizontal="center" vertical="center" wrapText="1"/>
      <protection locked="0"/>
    </xf>
    <xf numFmtId="9" fontId="47" fillId="8" borderId="4" xfId="2" applyFont="1" applyFill="1" applyBorder="1" applyAlignment="1" applyProtection="1">
      <alignment horizontal="center" vertical="center" wrapText="1"/>
      <protection locked="0"/>
    </xf>
    <xf numFmtId="9" fontId="47" fillId="8" borderId="17" xfId="2" applyFont="1" applyFill="1" applyBorder="1" applyAlignment="1" applyProtection="1">
      <alignment horizontal="center" vertical="center" wrapText="1"/>
      <protection locked="0"/>
    </xf>
    <xf numFmtId="0" fontId="14" fillId="13" borderId="17" xfId="0" applyFont="1" applyFill="1" applyBorder="1" applyAlignment="1" applyProtection="1">
      <alignment horizontal="left" vertical="top"/>
      <protection locked="0"/>
    </xf>
    <xf numFmtId="0" fontId="14" fillId="13" borderId="23" xfId="0" applyFont="1" applyFill="1" applyBorder="1" applyAlignment="1" applyProtection="1">
      <alignment horizontal="left" vertical="top"/>
      <protection locked="0"/>
    </xf>
    <xf numFmtId="0" fontId="14" fillId="0" borderId="0" xfId="0" applyFont="1" applyAlignment="1" applyProtection="1">
      <alignment horizontal="left" wrapText="1"/>
      <protection hidden="1"/>
    </xf>
    <xf numFmtId="0" fontId="22" fillId="0" borderId="0" xfId="0" applyFont="1" applyAlignment="1" applyProtection="1">
      <alignment horizontal="center" vertical="center"/>
      <protection hidden="1"/>
    </xf>
    <xf numFmtId="0" fontId="47" fillId="11" borderId="0" xfId="0" applyFont="1" applyFill="1" applyAlignment="1" applyProtection="1">
      <alignment vertical="center"/>
      <protection hidden="1"/>
    </xf>
    <xf numFmtId="0" fontId="25" fillId="0" borderId="4" xfId="0" applyFont="1" applyBorder="1" applyAlignment="1">
      <alignment wrapText="1"/>
    </xf>
    <xf numFmtId="0" fontId="25" fillId="0" borderId="0" xfId="0" applyFont="1" applyAlignment="1">
      <alignment wrapText="1"/>
    </xf>
    <xf numFmtId="0" fontId="62" fillId="0" borderId="0" xfId="0" applyFont="1"/>
    <xf numFmtId="0" fontId="62" fillId="0" borderId="42" xfId="0" applyFont="1" applyBorder="1"/>
    <xf numFmtId="0" fontId="62" fillId="0" borderId="0" xfId="0" applyFont="1" applyAlignment="1">
      <alignment horizontal="center" vertical="center"/>
    </xf>
    <xf numFmtId="0" fontId="0" fillId="0" borderId="0" xfId="0" applyAlignment="1">
      <alignment horizontal="center" vertical="center"/>
    </xf>
    <xf numFmtId="0" fontId="19" fillId="42" borderId="4" xfId="0" applyFont="1" applyFill="1" applyBorder="1" applyAlignment="1">
      <alignment horizontal="center" vertical="center"/>
    </xf>
    <xf numFmtId="0" fontId="27" fillId="13" borderId="4" xfId="0" applyFont="1" applyFill="1" applyBorder="1" applyAlignment="1" applyProtection="1">
      <alignment horizontal="left" vertical="center" wrapText="1"/>
      <protection hidden="1"/>
    </xf>
    <xf numFmtId="0" fontId="27" fillId="20" borderId="0" xfId="0" applyFont="1" applyFill="1" applyAlignment="1" applyProtection="1">
      <alignment horizontal="right" vertical="center" wrapText="1"/>
      <protection hidden="1"/>
    </xf>
    <xf numFmtId="0" fontId="63" fillId="20" borderId="0" xfId="0" applyFont="1" applyFill="1"/>
    <xf numFmtId="9" fontId="62" fillId="0" borderId="89" xfId="2" applyFont="1" applyBorder="1"/>
    <xf numFmtId="9" fontId="62" fillId="0" borderId="90" xfId="2" applyFont="1" applyBorder="1"/>
    <xf numFmtId="167" fontId="64" fillId="31" borderId="4" xfId="24" applyNumberFormat="1" applyFont="1" applyFill="1" applyBorder="1" applyAlignment="1">
      <alignment horizontal="center" vertical="center"/>
    </xf>
    <xf numFmtId="9" fontId="47" fillId="0" borderId="4" xfId="2" applyFont="1" applyBorder="1" applyAlignment="1" applyProtection="1">
      <alignment horizontal="center" vertical="center"/>
      <protection hidden="1"/>
    </xf>
    <xf numFmtId="0" fontId="27" fillId="13" borderId="0" xfId="0" applyFont="1" applyFill="1" applyAlignment="1" applyProtection="1">
      <alignment horizontal="left" vertical="center" wrapText="1"/>
      <protection hidden="1"/>
    </xf>
    <xf numFmtId="0" fontId="63" fillId="20" borderId="0" xfId="0" applyFont="1" applyFill="1" applyAlignment="1">
      <alignment horizontal="center"/>
    </xf>
    <xf numFmtId="0" fontId="47" fillId="0" borderId="0" xfId="0" applyFont="1" applyAlignment="1" applyProtection="1">
      <alignment vertical="center"/>
      <protection hidden="1"/>
    </xf>
    <xf numFmtId="167" fontId="64" fillId="5" borderId="4" xfId="24" applyNumberFormat="1" applyFont="1" applyFill="1" applyBorder="1" applyAlignment="1">
      <alignment horizontal="center" vertical="center"/>
    </xf>
    <xf numFmtId="0" fontId="14" fillId="20" borderId="0" xfId="0" applyFont="1" applyFill="1"/>
    <xf numFmtId="0" fontId="62" fillId="0" borderId="44" xfId="0" applyFont="1" applyBorder="1"/>
    <xf numFmtId="9" fontId="62" fillId="0" borderId="91" xfId="2" applyFont="1" applyBorder="1"/>
    <xf numFmtId="9" fontId="62" fillId="0" borderId="91" xfId="2" applyFont="1" applyBorder="1" applyAlignment="1">
      <alignment horizontal="right"/>
    </xf>
    <xf numFmtId="41" fontId="62" fillId="0" borderId="0" xfId="19" applyFont="1" applyFill="1" applyBorder="1"/>
    <xf numFmtId="0" fontId="14" fillId="0" borderId="4" xfId="0" applyFont="1" applyBorder="1"/>
    <xf numFmtId="0" fontId="62" fillId="0" borderId="89" xfId="0" applyFont="1" applyBorder="1"/>
    <xf numFmtId="0" fontId="65" fillId="29" borderId="45" xfId="25" applyFont="1" applyFill="1" applyBorder="1" applyAlignment="1" applyProtection="1">
      <alignment vertical="center" wrapText="1"/>
      <protection hidden="1"/>
    </xf>
    <xf numFmtId="0" fontId="65" fillId="29" borderId="0" xfId="25" applyFont="1" applyFill="1" applyBorder="1" applyAlignment="1" applyProtection="1">
      <alignment vertical="center" wrapText="1"/>
      <protection hidden="1"/>
    </xf>
    <xf numFmtId="0" fontId="14" fillId="0" borderId="89" xfId="0" applyFont="1" applyBorder="1"/>
    <xf numFmtId="9" fontId="62" fillId="0" borderId="0" xfId="2" applyFont="1"/>
    <xf numFmtId="0" fontId="14" fillId="20" borderId="89" xfId="0" applyFont="1" applyFill="1" applyBorder="1" applyAlignment="1">
      <alignment wrapText="1"/>
    </xf>
    <xf numFmtId="0" fontId="14" fillId="20" borderId="0" xfId="0" applyFont="1" applyFill="1" applyAlignment="1">
      <alignment wrapText="1"/>
    </xf>
    <xf numFmtId="0" fontId="62" fillId="0" borderId="91" xfId="0" applyFont="1" applyBorder="1"/>
    <xf numFmtId="9" fontId="62" fillId="0" borderId="92" xfId="2" applyFont="1" applyBorder="1"/>
    <xf numFmtId="0" fontId="14" fillId="0" borderId="0" xfId="0" applyFont="1" applyAlignment="1">
      <alignment wrapText="1"/>
    </xf>
    <xf numFmtId="0" fontId="62" fillId="0" borderId="0" xfId="0" applyFont="1" applyAlignment="1">
      <alignment horizontal="left"/>
    </xf>
    <xf numFmtId="9" fontId="62" fillId="0" borderId="0" xfId="2" applyFont="1" applyAlignment="1">
      <alignment horizontal="left"/>
    </xf>
    <xf numFmtId="0" fontId="62" fillId="28" borderId="89" xfId="0" applyFont="1" applyFill="1" applyBorder="1"/>
    <xf numFmtId="0" fontId="14" fillId="20" borderId="89" xfId="0" applyFont="1" applyFill="1" applyBorder="1" applyAlignment="1">
      <alignment vertical="center" wrapText="1"/>
    </xf>
    <xf numFmtId="0" fontId="14" fillId="20" borderId="0" xfId="0" applyFont="1" applyFill="1" applyAlignment="1">
      <alignment vertical="center" wrapText="1"/>
    </xf>
    <xf numFmtId="0" fontId="14" fillId="0" borderId="0" xfId="0" applyFont="1" applyAlignment="1">
      <alignment vertical="center"/>
    </xf>
    <xf numFmtId="0" fontId="14" fillId="20" borderId="0" xfId="0" applyFont="1" applyFill="1" applyAlignment="1">
      <alignment vertical="center"/>
    </xf>
    <xf numFmtId="0" fontId="14" fillId="0" borderId="0" xfId="0" applyFont="1" applyAlignment="1">
      <alignment horizontal="left" vertical="center" wrapText="1"/>
    </xf>
    <xf numFmtId="0" fontId="14" fillId="28" borderId="89" xfId="0" applyFont="1" applyFill="1" applyBorder="1"/>
    <xf numFmtId="0" fontId="14" fillId="28" borderId="42" xfId="0" applyFont="1" applyFill="1" applyBorder="1"/>
    <xf numFmtId="0" fontId="14" fillId="20" borderId="42" xfId="0" applyFont="1" applyFill="1" applyBorder="1"/>
    <xf numFmtId="0" fontId="14" fillId="0" borderId="42" xfId="0" applyFont="1" applyBorder="1"/>
    <xf numFmtId="0" fontId="14" fillId="28" borderId="0" xfId="0" applyFont="1" applyFill="1"/>
    <xf numFmtId="0" fontId="66" fillId="0" borderId="0" xfId="0" applyFont="1"/>
    <xf numFmtId="0" fontId="14" fillId="0" borderId="0" xfId="0" applyFont="1" applyAlignment="1" applyProtection="1">
      <alignment horizontal="center" vertical="center"/>
      <protection hidden="1"/>
    </xf>
    <xf numFmtId="0" fontId="19" fillId="0" borderId="0" xfId="0" applyFont="1" applyAlignment="1" applyProtection="1">
      <alignment horizontal="center" vertical="center"/>
      <protection hidden="1"/>
    </xf>
    <xf numFmtId="0" fontId="14" fillId="0" borderId="0" xfId="0" applyFont="1" applyAlignment="1" applyProtection="1">
      <alignment horizontal="left"/>
      <protection hidden="1"/>
    </xf>
    <xf numFmtId="0" fontId="14" fillId="0" borderId="33" xfId="0" applyFont="1" applyBorder="1" applyAlignment="1" applyProtection="1">
      <alignment horizontal="right"/>
      <protection hidden="1"/>
    </xf>
    <xf numFmtId="9" fontId="14" fillId="0" borderId="0" xfId="0" applyNumberFormat="1" applyFont="1" applyProtection="1">
      <protection hidden="1"/>
    </xf>
    <xf numFmtId="0" fontId="14" fillId="0" borderId="13" xfId="0" applyFont="1" applyBorder="1" applyProtection="1">
      <protection locked="0"/>
    </xf>
    <xf numFmtId="0" fontId="25" fillId="13" borderId="0" xfId="0" applyFont="1" applyFill="1" applyAlignment="1" applyProtection="1">
      <alignment horizontal="center"/>
      <protection hidden="1"/>
    </xf>
    <xf numFmtId="0" fontId="47" fillId="0" borderId="0" xfId="0" applyFont="1" applyAlignment="1" applyProtection="1">
      <alignment vertical="center"/>
      <protection locked="0"/>
    </xf>
    <xf numFmtId="0" fontId="14" fillId="20" borderId="0" xfId="0" applyFont="1" applyFill="1" applyProtection="1">
      <protection hidden="1"/>
    </xf>
    <xf numFmtId="0" fontId="14" fillId="20" borderId="4" xfId="0" applyFont="1" applyFill="1" applyBorder="1" applyAlignment="1" applyProtection="1">
      <alignment horizontal="center"/>
      <protection hidden="1"/>
    </xf>
    <xf numFmtId="0" fontId="14" fillId="20" borderId="4" xfId="0" applyFont="1" applyFill="1" applyBorder="1" applyProtection="1">
      <protection hidden="1"/>
    </xf>
    <xf numFmtId="177" fontId="14" fillId="20" borderId="4" xfId="0" applyNumberFormat="1" applyFont="1" applyFill="1" applyBorder="1" applyProtection="1">
      <protection hidden="1"/>
    </xf>
    <xf numFmtId="177" fontId="14" fillId="0" borderId="0" xfId="17" applyNumberFormat="1" applyFont="1" applyProtection="1">
      <protection hidden="1"/>
    </xf>
    <xf numFmtId="177" fontId="14" fillId="20" borderId="4" xfId="17" applyNumberFormat="1" applyFont="1" applyFill="1" applyBorder="1" applyProtection="1">
      <protection hidden="1"/>
    </xf>
    <xf numFmtId="0" fontId="47" fillId="0" borderId="4" xfId="0" applyFont="1" applyBorder="1" applyAlignment="1" applyProtection="1">
      <alignment vertical="center"/>
      <protection hidden="1"/>
    </xf>
    <xf numFmtId="0" fontId="47" fillId="0" borderId="4" xfId="0" applyFont="1" applyBorder="1" applyAlignment="1" applyProtection="1">
      <alignment horizontal="left" vertical="center"/>
      <protection hidden="1"/>
    </xf>
    <xf numFmtId="0" fontId="54" fillId="0" borderId="0" xfId="0" applyFont="1" applyAlignment="1" applyProtection="1">
      <alignment horizontal="center" vertical="center"/>
      <protection locked="0"/>
    </xf>
    <xf numFmtId="0" fontId="47" fillId="0" borderId="0" xfId="0" applyFont="1" applyAlignment="1" applyProtection="1">
      <alignment horizontal="left" vertical="center"/>
      <protection hidden="1"/>
    </xf>
    <xf numFmtId="0" fontId="54" fillId="0" borderId="0" xfId="0" applyFont="1" applyAlignment="1" applyProtection="1">
      <alignment vertical="center"/>
      <protection locked="0"/>
    </xf>
    <xf numFmtId="0" fontId="35" fillId="0" borderId="0" xfId="0" applyFont="1" applyAlignment="1" applyProtection="1">
      <alignment vertical="center"/>
      <protection hidden="1"/>
    </xf>
    <xf numFmtId="0" fontId="47" fillId="0" borderId="0" xfId="0" applyFont="1" applyAlignment="1">
      <alignment vertical="center"/>
    </xf>
    <xf numFmtId="0" fontId="47" fillId="0" borderId="0" xfId="0" applyFont="1" applyAlignment="1">
      <alignment horizontal="center" vertical="center"/>
    </xf>
    <xf numFmtId="0" fontId="74" fillId="13" borderId="4" xfId="0" applyFont="1" applyFill="1" applyBorder="1" applyAlignment="1" applyProtection="1">
      <alignment horizontal="center" vertical="center" wrapText="1"/>
      <protection hidden="1"/>
    </xf>
    <xf numFmtId="0" fontId="65" fillId="13" borderId="4" xfId="0" applyFont="1" applyFill="1" applyBorder="1" applyAlignment="1" applyProtection="1">
      <alignment horizontal="center" vertical="center" wrapText="1"/>
      <protection hidden="1"/>
    </xf>
    <xf numFmtId="0" fontId="35" fillId="13" borderId="4" xfId="0" applyFont="1" applyFill="1" applyBorder="1" applyAlignment="1" applyProtection="1">
      <alignment horizontal="center" vertical="center" wrapText="1"/>
      <protection hidden="1"/>
    </xf>
    <xf numFmtId="0" fontId="47" fillId="13" borderId="0" xfId="0" applyFont="1" applyFill="1" applyAlignment="1" applyProtection="1">
      <alignment horizontal="center" vertical="center"/>
      <protection hidden="1"/>
    </xf>
    <xf numFmtId="0" fontId="35" fillId="13" borderId="0" xfId="0" applyFont="1" applyFill="1" applyAlignment="1" applyProtection="1">
      <alignment horizontal="center" vertical="center" wrapText="1"/>
      <protection hidden="1"/>
    </xf>
    <xf numFmtId="0" fontId="65" fillId="13" borderId="0" xfId="0" applyFont="1" applyFill="1" applyAlignment="1" applyProtection="1">
      <alignment horizontal="center" vertical="center" wrapText="1"/>
      <protection hidden="1"/>
    </xf>
    <xf numFmtId="0" fontId="47" fillId="36" borderId="4" xfId="0" applyFont="1" applyFill="1" applyBorder="1" applyAlignment="1" applyProtection="1">
      <alignment vertical="center"/>
      <protection locked="0" hidden="1"/>
    </xf>
    <xf numFmtId="0" fontId="47" fillId="13" borderId="0" xfId="0" applyFont="1" applyFill="1" applyAlignment="1" applyProtection="1">
      <alignment vertical="center"/>
      <protection locked="0" hidden="1"/>
    </xf>
    <xf numFmtId="0" fontId="47" fillId="13" borderId="0" xfId="0" applyFont="1" applyFill="1" applyAlignment="1">
      <alignment horizontal="center" vertical="center"/>
    </xf>
    <xf numFmtId="0" fontId="75" fillId="13" borderId="0" xfId="0" applyFont="1" applyFill="1" applyAlignment="1" applyProtection="1">
      <alignment vertical="center"/>
      <protection locked="0" hidden="1"/>
    </xf>
    <xf numFmtId="0" fontId="54" fillId="13" borderId="0" xfId="0" applyFont="1" applyFill="1" applyAlignment="1">
      <alignment horizontal="center" vertical="center"/>
    </xf>
    <xf numFmtId="0" fontId="9" fillId="0" borderId="4" xfId="0" applyFont="1" applyBorder="1" applyAlignment="1" applyProtection="1">
      <alignment horizontal="center" vertical="center"/>
      <protection hidden="1"/>
    </xf>
    <xf numFmtId="0" fontId="47" fillId="0" borderId="0" xfId="0" applyFont="1" applyAlignment="1" applyProtection="1">
      <alignment vertical="center"/>
      <protection locked="0" hidden="1"/>
    </xf>
    <xf numFmtId="0" fontId="54" fillId="13" borderId="0" xfId="0" applyFont="1" applyFill="1" applyAlignment="1" applyProtection="1">
      <alignment vertical="center"/>
      <protection locked="0" hidden="1"/>
    </xf>
    <xf numFmtId="0" fontId="54" fillId="13" borderId="0" xfId="0" applyFont="1" applyFill="1" applyAlignment="1" applyProtection="1">
      <alignment horizontal="center" vertical="center"/>
      <protection hidden="1"/>
    </xf>
    <xf numFmtId="0" fontId="47" fillId="13" borderId="0" xfId="0" applyFont="1" applyFill="1" applyAlignment="1" applyProtection="1">
      <alignment vertical="center"/>
      <protection hidden="1"/>
    </xf>
    <xf numFmtId="0" fontId="47" fillId="13" borderId="0" xfId="0" applyFont="1" applyFill="1" applyAlignment="1">
      <alignment vertical="center"/>
    </xf>
    <xf numFmtId="0" fontId="35" fillId="13" borderId="0" xfId="0" applyFont="1" applyFill="1" applyAlignment="1">
      <alignment horizontal="center" vertical="center"/>
    </xf>
    <xf numFmtId="0" fontId="35" fillId="13" borderId="0" xfId="0" applyFont="1" applyFill="1" applyAlignment="1" applyProtection="1">
      <alignment horizontal="center" vertical="center"/>
      <protection locked="0" hidden="1"/>
    </xf>
    <xf numFmtId="0" fontId="47" fillId="0" borderId="0" xfId="0" applyFont="1" applyAlignment="1" applyProtection="1">
      <alignment vertical="center" wrapText="1"/>
      <protection hidden="1"/>
    </xf>
    <xf numFmtId="0" fontId="35" fillId="13" borderId="0" xfId="0" applyFont="1" applyFill="1" applyAlignment="1" applyProtection="1">
      <alignment vertical="center"/>
      <protection hidden="1"/>
    </xf>
    <xf numFmtId="0" fontId="76" fillId="13" borderId="0" xfId="0" applyFont="1" applyFill="1" applyAlignment="1" applyProtection="1">
      <alignment vertical="center"/>
      <protection hidden="1"/>
    </xf>
    <xf numFmtId="0" fontId="35" fillId="13" borderId="0" xfId="0" applyFont="1" applyFill="1" applyAlignment="1" applyProtection="1">
      <alignment vertical="center" wrapText="1"/>
      <protection hidden="1"/>
    </xf>
    <xf numFmtId="0" fontId="35" fillId="13" borderId="0" xfId="0" applyFont="1" applyFill="1" applyAlignment="1" applyProtection="1">
      <alignment horizontal="center" vertical="center"/>
      <protection hidden="1"/>
    </xf>
    <xf numFmtId="0" fontId="35" fillId="0" borderId="14" xfId="0" applyFont="1" applyBorder="1" applyAlignment="1" applyProtection="1">
      <alignment horizontal="center" vertical="center"/>
      <protection hidden="1"/>
    </xf>
    <xf numFmtId="0" fontId="47" fillId="13" borderId="0" xfId="0" applyFont="1" applyFill="1" applyAlignment="1" applyProtection="1">
      <alignment vertical="center" wrapText="1"/>
      <protection hidden="1"/>
    </xf>
    <xf numFmtId="0" fontId="47" fillId="0" borderId="4" xfId="0" applyFont="1" applyBorder="1" applyAlignment="1" applyProtection="1">
      <alignment horizontal="center" vertical="center"/>
      <protection hidden="1"/>
    </xf>
    <xf numFmtId="0" fontId="47"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10" fontId="47" fillId="0" borderId="0" xfId="0" applyNumberFormat="1" applyFont="1" applyAlignment="1" applyProtection="1">
      <alignment vertical="center"/>
      <protection hidden="1"/>
    </xf>
    <xf numFmtId="10" fontId="47" fillId="13" borderId="0" xfId="0" applyNumberFormat="1" applyFont="1" applyFill="1" applyAlignment="1" applyProtection="1">
      <alignment vertical="center"/>
      <protection hidden="1"/>
    </xf>
    <xf numFmtId="0" fontId="19" fillId="13" borderId="0" xfId="0" applyFont="1" applyFill="1" applyAlignment="1" applyProtection="1">
      <alignment vertical="center"/>
      <protection hidden="1"/>
    </xf>
    <xf numFmtId="0" fontId="77" fillId="13" borderId="0" xfId="0" applyFont="1" applyFill="1" applyAlignment="1" applyProtection="1">
      <alignment horizontal="center" vertical="center"/>
      <protection hidden="1"/>
    </xf>
    <xf numFmtId="0" fontId="77" fillId="13" borderId="4" xfId="0" applyFont="1" applyFill="1" applyBorder="1" applyAlignment="1" applyProtection="1">
      <alignment horizontal="center" vertical="center" wrapText="1"/>
      <protection hidden="1"/>
    </xf>
    <xf numFmtId="0" fontId="35" fillId="20" borderId="4" xfId="0" applyFont="1" applyFill="1" applyBorder="1" applyAlignment="1" applyProtection="1">
      <alignment horizontal="center" vertical="center"/>
      <protection hidden="1"/>
    </xf>
    <xf numFmtId="0" fontId="35" fillId="30" borderId="4" xfId="0" applyFont="1" applyFill="1" applyBorder="1" applyAlignment="1" applyProtection="1">
      <alignment horizontal="center" vertical="center"/>
      <protection hidden="1"/>
    </xf>
    <xf numFmtId="0" fontId="35" fillId="16" borderId="4" xfId="0" applyFont="1" applyFill="1" applyBorder="1" applyAlignment="1" applyProtection="1">
      <alignment horizontal="center" vertical="center"/>
      <protection hidden="1"/>
    </xf>
    <xf numFmtId="0" fontId="47" fillId="0" borderId="0" xfId="0" applyFont="1" applyAlignment="1" applyProtection="1">
      <alignment horizontal="justify" vertical="center"/>
      <protection hidden="1"/>
    </xf>
    <xf numFmtId="170" fontId="47" fillId="0" borderId="0" xfId="0" applyNumberFormat="1" applyFont="1" applyAlignment="1">
      <alignment horizontal="center" vertical="center"/>
    </xf>
    <xf numFmtId="0" fontId="35" fillId="11" borderId="4" xfId="0" applyFont="1" applyFill="1" applyBorder="1" applyAlignment="1" applyProtection="1">
      <alignment horizontal="center" vertical="center"/>
      <protection hidden="1"/>
    </xf>
    <xf numFmtId="0" fontId="74" fillId="11" borderId="4" xfId="0" applyFont="1" applyFill="1" applyBorder="1" applyAlignment="1" applyProtection="1">
      <alignment horizontal="center" vertical="center"/>
      <protection hidden="1"/>
    </xf>
    <xf numFmtId="0" fontId="35" fillId="11" borderId="4" xfId="0" applyFont="1" applyFill="1" applyBorder="1" applyAlignment="1" applyProtection="1">
      <alignment horizontal="center" vertical="center" wrapText="1"/>
      <protection hidden="1"/>
    </xf>
    <xf numFmtId="0" fontId="77" fillId="36" borderId="4" xfId="0" applyFont="1" applyFill="1" applyBorder="1" applyAlignment="1" applyProtection="1">
      <alignment horizontal="center" vertical="center"/>
      <protection hidden="1"/>
    </xf>
    <xf numFmtId="10" fontId="74" fillId="36" borderId="4" xfId="2" applyNumberFormat="1" applyFont="1" applyFill="1" applyBorder="1" applyAlignment="1" applyProtection="1">
      <alignment horizontal="center" vertical="center"/>
      <protection hidden="1"/>
    </xf>
    <xf numFmtId="0" fontId="35" fillId="29" borderId="4" xfId="0" applyFont="1" applyFill="1" applyBorder="1" applyAlignment="1" applyProtection="1">
      <alignment horizontal="justify" vertical="center"/>
      <protection hidden="1"/>
    </xf>
    <xf numFmtId="0" fontId="35" fillId="13" borderId="0" xfId="0" applyFont="1" applyFill="1" applyAlignment="1" applyProtection="1">
      <alignment horizontal="justify" vertical="center"/>
      <protection hidden="1"/>
    </xf>
    <xf numFmtId="0" fontId="35" fillId="13" borderId="4" xfId="0" applyFont="1" applyFill="1" applyBorder="1" applyAlignment="1" applyProtection="1">
      <alignment horizontal="center" vertical="center"/>
      <protection hidden="1"/>
    </xf>
    <xf numFmtId="10" fontId="35" fillId="0" borderId="4" xfId="0" applyNumberFormat="1" applyFont="1" applyBorder="1" applyAlignment="1" applyProtection="1">
      <alignment horizontal="center" vertical="center" wrapText="1"/>
      <protection hidden="1"/>
    </xf>
    <xf numFmtId="0" fontId="35" fillId="0" borderId="4" xfId="0" applyFont="1" applyBorder="1" applyAlignment="1" applyProtection="1">
      <alignment horizontal="center" vertical="center" wrapText="1"/>
      <protection hidden="1"/>
    </xf>
    <xf numFmtId="9" fontId="35" fillId="0" borderId="4" xfId="0" applyNumberFormat="1" applyFont="1" applyBorder="1" applyAlignment="1" applyProtection="1">
      <alignment horizontal="justify" vertical="center"/>
      <protection hidden="1"/>
    </xf>
    <xf numFmtId="9" fontId="47" fillId="13" borderId="0" xfId="0" applyNumberFormat="1" applyFont="1" applyFill="1" applyAlignment="1" applyProtection="1">
      <alignment horizontal="justify" vertical="center"/>
      <protection hidden="1"/>
    </xf>
    <xf numFmtId="0" fontId="47" fillId="13" borderId="0" xfId="0" applyFont="1" applyFill="1" applyAlignment="1" applyProtection="1">
      <alignment horizontal="justify" vertical="center"/>
      <protection hidden="1"/>
    </xf>
    <xf numFmtId="164" fontId="47" fillId="0" borderId="4" xfId="26" applyNumberFormat="1" applyFont="1" applyBorder="1" applyAlignment="1" applyProtection="1">
      <alignment vertical="center"/>
      <protection locked="0"/>
    </xf>
    <xf numFmtId="170" fontId="47" fillId="0" borderId="4" xfId="0" applyNumberFormat="1" applyFont="1" applyBorder="1" applyAlignment="1" applyProtection="1">
      <alignment horizontal="center" vertical="center"/>
      <protection locked="0"/>
    </xf>
    <xf numFmtId="175" fontId="35" fillId="0" borderId="4" xfId="26" applyNumberFormat="1" applyFont="1" applyFill="1" applyBorder="1" applyAlignment="1" applyProtection="1">
      <alignment horizontal="center" vertical="center"/>
      <protection hidden="1"/>
    </xf>
    <xf numFmtId="10" fontId="47" fillId="0" borderId="4" xfId="0" applyNumberFormat="1" applyFont="1" applyBorder="1" applyAlignment="1" applyProtection="1">
      <alignment horizontal="center" vertical="center"/>
      <protection hidden="1"/>
    </xf>
    <xf numFmtId="170" fontId="47" fillId="0" borderId="4" xfId="0" applyNumberFormat="1" applyFont="1" applyBorder="1" applyAlignment="1" applyProtection="1">
      <alignment horizontal="center" vertical="center"/>
      <protection hidden="1"/>
    </xf>
    <xf numFmtId="9" fontId="47" fillId="0" borderId="4" xfId="0" applyNumberFormat="1" applyFont="1" applyBorder="1" applyAlignment="1" applyProtection="1">
      <alignment horizontal="center" vertical="center"/>
      <protection hidden="1"/>
    </xf>
    <xf numFmtId="9" fontId="47" fillId="13" borderId="0" xfId="0" applyNumberFormat="1" applyFont="1" applyFill="1" applyAlignment="1" applyProtection="1">
      <alignment horizontal="center" vertical="center"/>
      <protection hidden="1"/>
    </xf>
    <xf numFmtId="0" fontId="35" fillId="0" borderId="4" xfId="0" applyFont="1" applyBorder="1" applyAlignment="1" applyProtection="1">
      <alignment horizontal="center" vertical="center"/>
      <protection locked="0" hidden="1"/>
    </xf>
    <xf numFmtId="175" fontId="35" fillId="0" borderId="4" xfId="26" applyNumberFormat="1" applyFont="1" applyFill="1" applyBorder="1" applyAlignment="1" applyProtection="1">
      <alignment vertical="center"/>
      <protection hidden="1"/>
    </xf>
    <xf numFmtId="175" fontId="47" fillId="0" borderId="4" xfId="0" applyNumberFormat="1" applyFont="1" applyBorder="1" applyAlignment="1" applyProtection="1">
      <alignment vertical="center"/>
      <protection hidden="1"/>
    </xf>
    <xf numFmtId="175" fontId="47" fillId="0" borderId="4" xfId="0" applyNumberFormat="1" applyFont="1" applyBorder="1" applyAlignment="1" applyProtection="1">
      <alignment horizontal="center" vertical="center"/>
      <protection hidden="1"/>
    </xf>
    <xf numFmtId="0" fontId="0" fillId="0" borderId="0" xfId="0" applyAlignment="1" applyProtection="1">
      <alignment vertical="center"/>
      <protection hidden="1"/>
    </xf>
    <xf numFmtId="0" fontId="78" fillId="13" borderId="0" xfId="0" applyFont="1" applyFill="1" applyAlignment="1" applyProtection="1">
      <alignment vertical="center"/>
      <protection hidden="1"/>
    </xf>
    <xf numFmtId="0" fontId="0" fillId="0" borderId="0" xfId="0" applyProtection="1">
      <protection locked="0"/>
    </xf>
    <xf numFmtId="0" fontId="0" fillId="0" borderId="0" xfId="0" applyAlignment="1" applyProtection="1">
      <alignment horizontal="center" vertical="center"/>
      <protection hidden="1"/>
    </xf>
    <xf numFmtId="0" fontId="0" fillId="0" borderId="0" xfId="0" applyAlignment="1" applyProtection="1">
      <alignment horizontal="right"/>
      <protection hidden="1"/>
    </xf>
    <xf numFmtId="0" fontId="79" fillId="13" borderId="0" xfId="0" applyFont="1" applyFill="1" applyAlignment="1" applyProtection="1">
      <alignment vertical="center"/>
      <protection hidden="1"/>
    </xf>
    <xf numFmtId="0" fontId="80" fillId="45" borderId="4" xfId="0" applyFont="1" applyFill="1" applyBorder="1" applyAlignment="1">
      <alignment horizontal="center" vertical="center"/>
    </xf>
    <xf numFmtId="0" fontId="0" fillId="0" borderId="0" xfId="0" applyAlignment="1" applyProtection="1">
      <alignment horizontal="center"/>
      <protection locked="0"/>
    </xf>
    <xf numFmtId="0" fontId="0" fillId="0" borderId="0" xfId="0" applyAlignment="1" applyProtection="1">
      <alignment horizontal="right"/>
      <protection locked="0"/>
    </xf>
    <xf numFmtId="0" fontId="79" fillId="13" borderId="0" xfId="0" applyFont="1" applyFill="1" applyAlignment="1" applyProtection="1">
      <alignment horizontal="center" vertical="center"/>
      <protection hidden="1"/>
    </xf>
    <xf numFmtId="0" fontId="80" fillId="20" borderId="4" xfId="0" applyFont="1" applyFill="1" applyBorder="1" applyAlignment="1">
      <alignment horizontal="center" vertical="center"/>
    </xf>
    <xf numFmtId="9" fontId="79" fillId="13" borderId="0" xfId="2" applyFont="1" applyFill="1" applyAlignment="1" applyProtection="1">
      <alignment horizontal="center" vertical="center"/>
      <protection hidden="1"/>
    </xf>
    <xf numFmtId="173" fontId="0" fillId="13" borderId="0" xfId="0" applyNumberFormat="1" applyFill="1" applyAlignment="1" applyProtection="1">
      <alignment horizontal="left" vertical="center"/>
      <protection hidden="1"/>
    </xf>
    <xf numFmtId="2" fontId="0" fillId="0" borderId="0" xfId="0" applyNumberFormat="1" applyAlignment="1" applyProtection="1">
      <alignment horizontal="center" vertical="center"/>
      <protection hidden="1"/>
    </xf>
    <xf numFmtId="173" fontId="78" fillId="13" borderId="0" xfId="0" applyNumberFormat="1" applyFont="1" applyFill="1" applyAlignment="1" applyProtection="1">
      <alignment vertical="center"/>
      <protection hidden="1"/>
    </xf>
    <xf numFmtId="10" fontId="72" fillId="13" borderId="0" xfId="0" applyNumberFormat="1" applyFont="1" applyFill="1" applyAlignment="1" applyProtection="1">
      <alignment vertical="center"/>
      <protection hidden="1"/>
    </xf>
    <xf numFmtId="0" fontId="72" fillId="13" borderId="0" xfId="0" applyFont="1" applyFill="1" applyAlignment="1" applyProtection="1">
      <alignment vertical="center"/>
      <protection hidden="1"/>
    </xf>
    <xf numFmtId="0" fontId="0" fillId="0" borderId="0" xfId="0" applyAlignment="1" applyProtection="1">
      <alignment horizontal="left" vertical="center"/>
      <protection hidden="1"/>
    </xf>
    <xf numFmtId="2" fontId="81" fillId="13" borderId="0" xfId="0" applyNumberFormat="1" applyFont="1" applyFill="1" applyAlignment="1" applyProtection="1">
      <alignment vertical="center" wrapText="1"/>
      <protection hidden="1"/>
    </xf>
    <xf numFmtId="0" fontId="82" fillId="13" borderId="0" xfId="0" applyFont="1" applyFill="1" applyAlignment="1" applyProtection="1">
      <alignment vertical="center" wrapText="1"/>
      <protection hidden="1"/>
    </xf>
    <xf numFmtId="0" fontId="83" fillId="21" borderId="4" xfId="0" applyFont="1" applyFill="1" applyBorder="1" applyAlignment="1">
      <alignment horizontal="center" vertical="center"/>
    </xf>
    <xf numFmtId="0" fontId="59" fillId="0" borderId="0" xfId="0" applyFont="1" applyAlignment="1" applyProtection="1">
      <alignment vertical="center"/>
      <protection hidden="1"/>
    </xf>
    <xf numFmtId="0" fontId="0" fillId="0" borderId="0" xfId="0" applyAlignment="1">
      <alignment vertical="center"/>
    </xf>
    <xf numFmtId="0" fontId="84" fillId="0" borderId="0" xfId="0" applyFont="1" applyAlignment="1">
      <alignment horizontal="center" vertical="center"/>
    </xf>
    <xf numFmtId="0" fontId="78" fillId="0" borderId="0" xfId="0" applyFont="1" applyAlignment="1" applyProtection="1">
      <alignment vertical="center"/>
      <protection hidden="1"/>
    </xf>
    <xf numFmtId="0" fontId="86" fillId="0" borderId="0" xfId="0" applyFont="1" applyAlignment="1" applyProtection="1">
      <alignment horizontal="justify"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justify" vertical="center" wrapText="1"/>
      <protection hidden="1"/>
    </xf>
    <xf numFmtId="0" fontId="78" fillId="0" borderId="0" xfId="0" applyFont="1" applyAlignment="1" applyProtection="1">
      <alignment horizontal="center" vertical="center" wrapText="1"/>
      <protection hidden="1"/>
    </xf>
    <xf numFmtId="0" fontId="0" fillId="0" borderId="0" xfId="0" applyAlignment="1" applyProtection="1">
      <alignment horizontal="right" vertical="top"/>
      <protection hidden="1"/>
    </xf>
    <xf numFmtId="10" fontId="0" fillId="0" borderId="0" xfId="0" applyNumberFormat="1" applyAlignment="1" applyProtection="1">
      <alignment horizontal="center" vertical="top"/>
      <protection hidden="1"/>
    </xf>
    <xf numFmtId="9" fontId="0" fillId="0" borderId="0" xfId="0" applyNumberFormat="1" applyAlignment="1" applyProtection="1">
      <alignment horizontal="right" vertical="top"/>
      <protection hidden="1"/>
    </xf>
    <xf numFmtId="10" fontId="0" fillId="0" borderId="0" xfId="19" applyNumberFormat="1" applyFont="1" applyAlignment="1" applyProtection="1">
      <alignment horizontal="center" vertical="top"/>
      <protection hidden="1"/>
    </xf>
    <xf numFmtId="170" fontId="0" fillId="0" borderId="0" xfId="0" applyNumberFormat="1" applyAlignment="1" applyProtection="1">
      <alignment horizontal="center" vertical="top"/>
      <protection hidden="1"/>
    </xf>
    <xf numFmtId="10" fontId="0" fillId="0" borderId="0" xfId="19" applyNumberFormat="1" applyFont="1" applyAlignment="1" applyProtection="1">
      <alignment horizontal="right" vertical="top"/>
      <protection hidden="1"/>
    </xf>
    <xf numFmtId="10" fontId="92" fillId="0" borderId="4" xfId="2" applyNumberFormat="1" applyFont="1" applyFill="1" applyBorder="1" applyAlignment="1" applyProtection="1">
      <alignment horizontal="center" vertical="center"/>
      <protection locked="0"/>
    </xf>
    <xf numFmtId="0" fontId="0" fillId="0" borderId="0" xfId="0" applyProtection="1">
      <protection hidden="1"/>
    </xf>
    <xf numFmtId="0" fontId="93" fillId="0" borderId="0" xfId="0" applyFont="1" applyAlignment="1" applyProtection="1">
      <alignment vertical="top" wrapText="1"/>
      <protection locked="0"/>
    </xf>
    <xf numFmtId="0" fontId="59" fillId="0" borderId="4" xfId="0" applyFont="1" applyBorder="1" applyAlignment="1">
      <alignment horizontal="center" vertical="center" wrapText="1"/>
    </xf>
    <xf numFmtId="10" fontId="18" fillId="13" borderId="0" xfId="0" applyNumberFormat="1" applyFont="1" applyFill="1" applyAlignment="1" applyProtection="1">
      <alignment horizontal="center" vertical="top"/>
      <protection hidden="1"/>
    </xf>
    <xf numFmtId="8" fontId="95" fillId="0" borderId="0" xfId="0" applyNumberFormat="1" applyFont="1" applyAlignment="1">
      <alignment horizontal="justify" vertical="center"/>
    </xf>
    <xf numFmtId="10" fontId="58" fillId="13" borderId="0" xfId="0" applyNumberFormat="1" applyFont="1" applyFill="1" applyAlignment="1" applyProtection="1">
      <alignment horizontal="center" vertical="center"/>
      <protection hidden="1"/>
    </xf>
    <xf numFmtId="0" fontId="0" fillId="0" borderId="45" xfId="0" applyBorder="1" applyAlignment="1">
      <alignment vertical="center"/>
    </xf>
    <xf numFmtId="8" fontId="0" fillId="0" borderId="0" xfId="0" applyNumberFormat="1" applyAlignment="1">
      <alignment vertical="center"/>
    </xf>
    <xf numFmtId="10" fontId="18" fillId="0" borderId="0" xfId="0" applyNumberFormat="1" applyFont="1" applyAlignment="1" applyProtection="1">
      <alignment horizontal="center" vertical="top"/>
      <protection hidden="1"/>
    </xf>
    <xf numFmtId="10" fontId="58" fillId="0" borderId="0" xfId="0" applyNumberFormat="1" applyFont="1" applyAlignment="1" applyProtection="1">
      <alignment horizontal="center" vertical="center"/>
      <protection hidden="1"/>
    </xf>
    <xf numFmtId="0" fontId="0" fillId="0" borderId="0" xfId="0" applyAlignment="1">
      <alignment horizontal="right" vertical="top"/>
    </xf>
    <xf numFmtId="10" fontId="0" fillId="0" borderId="0" xfId="0" applyNumberFormat="1" applyAlignment="1">
      <alignment horizontal="center" vertical="top"/>
    </xf>
    <xf numFmtId="9" fontId="0" fillId="0" borderId="0" xfId="0" applyNumberFormat="1" applyAlignment="1">
      <alignment horizontal="right" vertical="top"/>
    </xf>
    <xf numFmtId="10" fontId="0" fillId="0" borderId="0" xfId="19" applyNumberFormat="1" applyFont="1" applyAlignment="1" applyProtection="1">
      <alignment horizontal="center" vertical="top"/>
    </xf>
    <xf numFmtId="170" fontId="0" fillId="0" borderId="0" xfId="0" applyNumberFormat="1" applyAlignment="1">
      <alignment horizontal="center" vertical="top"/>
    </xf>
    <xf numFmtId="10" fontId="0" fillId="0" borderId="0" xfId="19" applyNumberFormat="1" applyFont="1" applyAlignment="1" applyProtection="1">
      <alignment horizontal="right" vertical="top"/>
    </xf>
    <xf numFmtId="43" fontId="0" fillId="0" borderId="4" xfId="18" applyFont="1" applyBorder="1" applyAlignment="1" applyProtection="1">
      <alignment vertical="center"/>
      <protection hidden="1"/>
    </xf>
    <xf numFmtId="0" fontId="0" fillId="0" borderId="4" xfId="0" applyBorder="1" applyAlignment="1" applyProtection="1">
      <alignment vertical="center"/>
      <protection locked="0"/>
    </xf>
    <xf numFmtId="9" fontId="0" fillId="0" borderId="4" xfId="0" applyNumberFormat="1" applyBorder="1" applyAlignment="1" applyProtection="1">
      <alignment horizontal="center" vertical="center"/>
      <protection locked="0"/>
    </xf>
    <xf numFmtId="0" fontId="59" fillId="25" borderId="4" xfId="0" applyFont="1" applyFill="1" applyBorder="1" applyAlignment="1">
      <alignment horizontal="center" vertical="center"/>
    </xf>
    <xf numFmtId="41" fontId="0" fillId="0" borderId="4" xfId="19" applyFont="1" applyBorder="1" applyAlignment="1" applyProtection="1"/>
    <xf numFmtId="41" fontId="0" fillId="0" borderId="4" xfId="19" applyFont="1" applyFill="1" applyBorder="1" applyAlignment="1" applyProtection="1"/>
    <xf numFmtId="41" fontId="0" fillId="0" borderId="4" xfId="19" applyFont="1" applyBorder="1" applyAlignment="1" applyProtection="1">
      <protection locked="0"/>
    </xf>
    <xf numFmtId="9" fontId="0" fillId="0" borderId="0" xfId="2" applyFont="1" applyFill="1" applyBorder="1" applyAlignment="1" applyProtection="1">
      <alignment horizontal="center"/>
      <protection locked="0"/>
    </xf>
    <xf numFmtId="0" fontId="94" fillId="0" borderId="0" xfId="0" applyFont="1" applyProtection="1">
      <protection hidden="1"/>
    </xf>
    <xf numFmtId="0" fontId="59" fillId="25" borderId="4" xfId="0" applyFont="1" applyFill="1" applyBorder="1" applyAlignment="1" applyProtection="1">
      <alignment horizontal="center" vertical="center"/>
      <protection hidden="1"/>
    </xf>
    <xf numFmtId="0" fontId="59" fillId="25" borderId="9" xfId="0" applyFont="1" applyFill="1" applyBorder="1" applyAlignment="1" applyProtection="1">
      <alignment horizontal="center" vertical="center" wrapText="1"/>
      <protection hidden="1"/>
    </xf>
    <xf numFmtId="177" fontId="0" fillId="0" borderId="9" xfId="17" applyNumberFormat="1" applyFont="1" applyBorder="1" applyProtection="1"/>
    <xf numFmtId="0" fontId="0" fillId="0" borderId="4" xfId="0" applyBorder="1" applyAlignment="1" applyProtection="1">
      <alignment horizontal="center" vertical="center"/>
      <protection locked="0"/>
    </xf>
    <xf numFmtId="0" fontId="59" fillId="0" borderId="0" xfId="0" applyFont="1" applyAlignment="1" applyProtection="1">
      <alignment horizontal="center"/>
      <protection hidden="1"/>
    </xf>
    <xf numFmtId="0" fontId="99" fillId="0" borderId="0" xfId="0" applyFont="1" applyProtection="1">
      <protection hidden="1"/>
    </xf>
    <xf numFmtId="0" fontId="0" fillId="30" borderId="0" xfId="0" applyFill="1"/>
    <xf numFmtId="0" fontId="89" fillId="0" borderId="4" xfId="0" applyFont="1" applyBorder="1" applyAlignment="1" applyProtection="1">
      <alignment vertical="center"/>
      <protection hidden="1"/>
    </xf>
    <xf numFmtId="0" fontId="14" fillId="53" borderId="0" xfId="5" applyFont="1" applyFill="1" applyAlignment="1" applyProtection="1">
      <alignment vertical="center" wrapText="1"/>
      <protection locked="0"/>
    </xf>
    <xf numFmtId="0" fontId="47" fillId="0" borderId="4" xfId="0" applyFont="1" applyBorder="1" applyAlignment="1" applyProtection="1">
      <alignment vertical="center" wrapText="1"/>
      <protection hidden="1"/>
    </xf>
    <xf numFmtId="0" fontId="110" fillId="53" borderId="0" xfId="5" applyFont="1" applyFill="1" applyAlignment="1" applyProtection="1">
      <alignment vertical="center" wrapText="1"/>
      <protection locked="0"/>
    </xf>
    <xf numFmtId="0" fontId="47" fillId="0" borderId="4" xfId="0" applyFont="1" applyBorder="1" applyAlignment="1" applyProtection="1">
      <alignment horizontal="left" vertical="center" wrapText="1"/>
      <protection hidden="1"/>
    </xf>
    <xf numFmtId="0" fontId="111" fillId="0" borderId="0" xfId="0" applyFont="1" applyAlignment="1" applyProtection="1">
      <alignment wrapText="1"/>
      <protection hidden="1"/>
    </xf>
    <xf numFmtId="0" fontId="14" fillId="13" borderId="0" xfId="5" applyFont="1" applyFill="1" applyAlignment="1" applyProtection="1">
      <alignment vertical="center" wrapText="1"/>
      <protection locked="0"/>
    </xf>
    <xf numFmtId="0" fontId="10" fillId="53" borderId="4" xfId="5" applyFont="1" applyFill="1" applyBorder="1" applyAlignment="1">
      <alignment vertical="center" wrapText="1"/>
    </xf>
    <xf numFmtId="2" fontId="28" fillId="53" borderId="0" xfId="5" applyNumberFormat="1" applyFont="1" applyFill="1" applyAlignment="1">
      <alignment horizontal="center" vertical="center" wrapText="1"/>
    </xf>
    <xf numFmtId="0" fontId="110" fillId="53" borderId="0" xfId="5" applyFont="1" applyFill="1" applyAlignment="1">
      <alignment vertical="center" wrapText="1"/>
    </xf>
    <xf numFmtId="0" fontId="10" fillId="53" borderId="20" xfId="5" applyFont="1" applyFill="1" applyBorder="1" applyAlignment="1">
      <alignment vertical="center" wrapText="1"/>
    </xf>
    <xf numFmtId="0" fontId="10" fillId="53" borderId="0" xfId="5" applyFont="1" applyFill="1" applyAlignment="1">
      <alignment vertical="center" wrapText="1"/>
    </xf>
    <xf numFmtId="3" fontId="10" fillId="13" borderId="0" xfId="5" applyNumberFormat="1" applyFont="1" applyFill="1" applyAlignment="1">
      <alignment vertical="center" wrapText="1"/>
    </xf>
    <xf numFmtId="0" fontId="20" fillId="13" borderId="0" xfId="5" applyFont="1" applyFill="1" applyAlignment="1" applyProtection="1">
      <alignment vertical="center" wrapText="1"/>
      <protection locked="0"/>
    </xf>
    <xf numFmtId="0" fontId="20" fillId="53" borderId="0" xfId="5" applyFont="1" applyFill="1" applyAlignment="1" applyProtection="1">
      <alignment vertical="center" wrapText="1"/>
      <protection locked="0"/>
    </xf>
    <xf numFmtId="2" fontId="10" fillId="13" borderId="0" xfId="5" applyNumberFormat="1" applyFont="1" applyFill="1" applyAlignment="1">
      <alignment horizontal="center" vertical="center" wrapText="1"/>
    </xf>
    <xf numFmtId="0" fontId="63" fillId="53" borderId="0" xfId="5" applyFont="1" applyFill="1" applyAlignment="1">
      <alignment vertical="center" wrapText="1"/>
    </xf>
    <xf numFmtId="0" fontId="63" fillId="53" borderId="0" xfId="5" applyFont="1" applyFill="1" applyAlignment="1">
      <alignment horizontal="justify" vertical="center" wrapText="1"/>
    </xf>
    <xf numFmtId="0" fontId="14" fillId="53" borderId="0" xfId="5" applyFont="1" applyFill="1" applyAlignment="1">
      <alignment vertical="center" wrapText="1"/>
    </xf>
    <xf numFmtId="0" fontId="11" fillId="55" borderId="0" xfId="5" applyFont="1" applyFill="1" applyAlignment="1">
      <alignment horizontal="left" vertical="center" wrapText="1"/>
    </xf>
    <xf numFmtId="0" fontId="115" fillId="55" borderId="0" xfId="5" applyFont="1" applyFill="1" applyAlignment="1">
      <alignment horizontal="center" vertical="center" wrapText="1"/>
    </xf>
    <xf numFmtId="0" fontId="115" fillId="55" borderId="26" xfId="5" applyFont="1" applyFill="1" applyBorder="1" applyAlignment="1">
      <alignment horizontal="center" vertical="center" wrapText="1"/>
    </xf>
    <xf numFmtId="0" fontId="115" fillId="55" borderId="73" xfId="5" applyFont="1" applyFill="1" applyBorder="1" applyAlignment="1">
      <alignment horizontal="center" vertical="center" wrapText="1"/>
    </xf>
    <xf numFmtId="0" fontId="115" fillId="55" borderId="52" xfId="5" applyFont="1" applyFill="1" applyBorder="1" applyAlignment="1">
      <alignment horizontal="center" vertical="center" wrapText="1"/>
    </xf>
    <xf numFmtId="0" fontId="28" fillId="55" borderId="16" xfId="5" applyFont="1" applyFill="1" applyBorder="1" applyAlignment="1">
      <alignment horizontal="center" vertical="center" wrapText="1"/>
    </xf>
    <xf numFmtId="0" fontId="28" fillId="55" borderId="14" xfId="5" applyFont="1" applyFill="1" applyBorder="1" applyAlignment="1">
      <alignment horizontal="center" vertical="center" wrapText="1"/>
    </xf>
    <xf numFmtId="0" fontId="28" fillId="55" borderId="61" xfId="5" applyFont="1" applyFill="1" applyBorder="1" applyAlignment="1">
      <alignment horizontal="center" vertical="center" wrapText="1"/>
    </xf>
    <xf numFmtId="0" fontId="28" fillId="55" borderId="31" xfId="5" applyFont="1" applyFill="1" applyBorder="1" applyAlignment="1">
      <alignment horizontal="center" vertical="center" wrapText="1"/>
    </xf>
    <xf numFmtId="0" fontId="28" fillId="55" borderId="15" xfId="5" applyFont="1" applyFill="1" applyBorder="1" applyAlignment="1">
      <alignment horizontal="center" vertical="center" wrapText="1"/>
    </xf>
    <xf numFmtId="0" fontId="27" fillId="53" borderId="16" xfId="5" applyFont="1" applyFill="1" applyBorder="1" applyAlignment="1" applyProtection="1">
      <alignment horizontal="center" vertical="center" wrapText="1"/>
      <protection locked="0"/>
    </xf>
    <xf numFmtId="0" fontId="116" fillId="53" borderId="4" xfId="5" applyFont="1" applyFill="1" applyBorder="1" applyAlignment="1" applyProtection="1">
      <alignment horizontal="justify" vertical="center" wrapText="1"/>
      <protection locked="0"/>
    </xf>
    <xf numFmtId="3" fontId="117" fillId="51" borderId="4" xfId="0" applyNumberFormat="1" applyFont="1" applyFill="1" applyBorder="1" applyAlignment="1" applyProtection="1">
      <alignment horizontal="right" vertical="center" wrapText="1"/>
      <protection locked="0"/>
    </xf>
    <xf numFmtId="3" fontId="117" fillId="13" borderId="4" xfId="0" applyNumberFormat="1" applyFont="1" applyFill="1" applyBorder="1" applyAlignment="1">
      <alignment horizontal="right" vertical="center" wrapText="1"/>
    </xf>
    <xf numFmtId="3" fontId="117" fillId="51" borderId="9" xfId="0" applyNumberFormat="1" applyFont="1" applyFill="1" applyBorder="1" applyAlignment="1" applyProtection="1">
      <alignment horizontal="right" vertical="center" wrapText="1"/>
      <protection locked="0"/>
    </xf>
    <xf numFmtId="3" fontId="117" fillId="51" borderId="9" xfId="0" applyNumberFormat="1" applyFont="1" applyFill="1" applyBorder="1" applyAlignment="1">
      <alignment horizontal="right" vertical="center" wrapText="1"/>
    </xf>
    <xf numFmtId="3" fontId="117" fillId="51" borderId="9" xfId="0" applyNumberFormat="1" applyFont="1" applyFill="1" applyBorder="1" applyAlignment="1" applyProtection="1">
      <alignment horizontal="center" vertical="center" wrapText="1"/>
      <protection locked="0"/>
    </xf>
    <xf numFmtId="0" fontId="14" fillId="53" borderId="17" xfId="5" applyFont="1" applyFill="1" applyBorder="1" applyAlignment="1" applyProtection="1">
      <alignment horizontal="center" vertical="center" wrapText="1"/>
      <protection locked="0"/>
    </xf>
    <xf numFmtId="0" fontId="50" fillId="53" borderId="4" xfId="5" applyFont="1" applyFill="1" applyBorder="1" applyAlignment="1" applyProtection="1">
      <alignment horizontal="justify" vertical="center" wrapText="1"/>
      <protection locked="0"/>
    </xf>
    <xf numFmtId="0" fontId="27" fillId="53" borderId="102" xfId="5" applyFont="1" applyFill="1" applyBorder="1" applyAlignment="1">
      <alignment vertical="center" wrapText="1"/>
    </xf>
    <xf numFmtId="0" fontId="110" fillId="56" borderId="4" xfId="5" applyFont="1" applyFill="1" applyBorder="1" applyAlignment="1">
      <alignment horizontal="center" vertical="center" wrapText="1"/>
    </xf>
    <xf numFmtId="3" fontId="110" fillId="56" borderId="4" xfId="5" applyNumberFormat="1" applyFont="1" applyFill="1" applyBorder="1" applyAlignment="1">
      <alignment horizontal="right" vertical="center" wrapText="1"/>
    </xf>
    <xf numFmtId="3" fontId="110" fillId="56" borderId="64" xfId="5" applyNumberFormat="1" applyFont="1" applyFill="1" applyBorder="1" applyAlignment="1">
      <alignment horizontal="right" vertical="center" wrapText="1"/>
    </xf>
    <xf numFmtId="3" fontId="110" fillId="56" borderId="94" xfId="5" applyNumberFormat="1" applyFont="1" applyFill="1" applyBorder="1" applyAlignment="1">
      <alignment horizontal="right" vertical="center" wrapText="1"/>
    </xf>
    <xf numFmtId="0" fontId="118" fillId="56" borderId="81" xfId="16" applyFont="1" applyFill="1" applyBorder="1" applyAlignment="1" applyProtection="1">
      <alignment horizontal="center" vertical="center" wrapText="1"/>
    </xf>
    <xf numFmtId="0" fontId="118" fillId="56" borderId="82" xfId="16" applyFont="1" applyFill="1" applyBorder="1" applyAlignment="1" applyProtection="1">
      <alignment vertical="center" wrapText="1"/>
    </xf>
    <xf numFmtId="2" fontId="119" fillId="56" borderId="4" xfId="16" applyNumberFormat="1" applyFont="1" applyFill="1" applyBorder="1" applyAlignment="1" applyProtection="1">
      <alignment horizontal="center" vertical="center" wrapText="1"/>
    </xf>
    <xf numFmtId="0" fontId="117" fillId="53" borderId="46" xfId="5" applyFont="1" applyFill="1" applyBorder="1" applyAlignment="1">
      <alignment vertical="center" wrapText="1"/>
    </xf>
    <xf numFmtId="10" fontId="110" fillId="56" borderId="67" xfId="7" applyNumberFormat="1" applyFont="1" applyFill="1" applyBorder="1" applyAlignment="1">
      <alignment horizontal="center" vertical="center" wrapText="1"/>
    </xf>
    <xf numFmtId="10" fontId="110" fillId="56" borderId="114" xfId="7" applyNumberFormat="1" applyFont="1" applyFill="1" applyBorder="1" applyAlignment="1">
      <alignment horizontal="center" vertical="center" wrapText="1"/>
    </xf>
    <xf numFmtId="10" fontId="110" fillId="56" borderId="9" xfId="7" applyNumberFormat="1" applyFont="1" applyFill="1" applyBorder="1" applyAlignment="1">
      <alignment horizontal="center" vertical="center" wrapText="1"/>
    </xf>
    <xf numFmtId="10" fontId="110" fillId="56" borderId="4" xfId="7" applyNumberFormat="1" applyFont="1" applyFill="1" applyBorder="1" applyAlignment="1">
      <alignment horizontal="center" vertical="center" wrapText="1"/>
    </xf>
    <xf numFmtId="0" fontId="117" fillId="53" borderId="35" xfId="5" applyFont="1" applyFill="1" applyBorder="1" applyAlignment="1">
      <alignment vertical="center" wrapText="1"/>
    </xf>
    <xf numFmtId="3" fontId="115" fillId="53" borderId="35" xfId="5" applyNumberFormat="1" applyFont="1" applyFill="1" applyBorder="1" applyAlignment="1">
      <alignment vertical="center" wrapText="1"/>
    </xf>
    <xf numFmtId="0" fontId="110" fillId="53" borderId="77" xfId="5" applyFont="1" applyFill="1" applyBorder="1" applyAlignment="1">
      <alignment vertical="center" wrapText="1"/>
    </xf>
    <xf numFmtId="0" fontId="117" fillId="53" borderId="26" xfId="5" applyFont="1" applyFill="1" applyBorder="1" applyAlignment="1">
      <alignment vertical="center" wrapText="1"/>
    </xf>
    <xf numFmtId="0" fontId="117" fillId="53" borderId="0" xfId="5" applyFont="1" applyFill="1" applyAlignment="1">
      <alignment vertical="center" wrapText="1"/>
    </xf>
    <xf numFmtId="0" fontId="14" fillId="53" borderId="26" xfId="5" applyFont="1" applyFill="1" applyBorder="1" applyAlignment="1" applyProtection="1">
      <alignment vertical="center" wrapText="1"/>
      <protection locked="0"/>
    </xf>
    <xf numFmtId="0" fontId="28" fillId="55" borderId="4" xfId="5" applyFont="1" applyFill="1" applyBorder="1" applyAlignment="1">
      <alignment horizontal="center" vertical="center" wrapText="1"/>
    </xf>
    <xf numFmtId="0" fontId="28" fillId="55" borderId="17" xfId="5" applyFont="1" applyFill="1" applyBorder="1" applyAlignment="1">
      <alignment horizontal="center" vertical="center" wrapText="1"/>
    </xf>
    <xf numFmtId="3" fontId="117" fillId="51" borderId="4" xfId="0" applyNumberFormat="1" applyFont="1" applyFill="1" applyBorder="1" applyAlignment="1">
      <alignment horizontal="right" vertical="center" wrapText="1"/>
    </xf>
    <xf numFmtId="0" fontId="117" fillId="53" borderId="4" xfId="5" applyFont="1" applyFill="1" applyBorder="1" applyAlignment="1" applyProtection="1">
      <alignment horizontal="justify" vertical="center" wrapText="1"/>
      <protection locked="0"/>
    </xf>
    <xf numFmtId="3" fontId="27" fillId="51" borderId="4" xfId="0" applyNumberFormat="1" applyFont="1" applyFill="1" applyBorder="1" applyAlignment="1" applyProtection="1">
      <alignment horizontal="right" vertical="center" wrapText="1"/>
      <protection locked="0"/>
    </xf>
    <xf numFmtId="0" fontId="27" fillId="53" borderId="16" xfId="5" applyFont="1" applyFill="1" applyBorder="1" applyAlignment="1" applyProtection="1">
      <alignment vertical="center" wrapText="1"/>
      <protection locked="0"/>
    </xf>
    <xf numFmtId="0" fontId="110" fillId="56" borderId="4" xfId="5" applyFont="1" applyFill="1" applyBorder="1" applyAlignment="1" applyProtection="1">
      <alignment horizontal="justify" vertical="center" wrapText="1"/>
      <protection locked="0"/>
    </xf>
    <xf numFmtId="3" fontId="110" fillId="56" borderId="9" xfId="5" applyNumberFormat="1" applyFont="1" applyFill="1" applyBorder="1" applyAlignment="1">
      <alignment horizontal="right" vertical="center" wrapText="1"/>
    </xf>
    <xf numFmtId="0" fontId="14" fillId="53" borderId="17" xfId="5" applyFont="1" applyFill="1" applyBorder="1" applyAlignment="1" applyProtection="1">
      <alignment vertical="center" wrapText="1"/>
      <protection locked="0"/>
    </xf>
    <xf numFmtId="4" fontId="119" fillId="56" borderId="4" xfId="16" applyNumberFormat="1" applyFont="1" applyFill="1" applyBorder="1" applyAlignment="1" applyProtection="1">
      <alignment horizontal="center" vertical="center" wrapText="1"/>
    </xf>
    <xf numFmtId="3" fontId="117" fillId="53" borderId="66" xfId="5" applyNumberFormat="1" applyFont="1" applyFill="1" applyBorder="1" applyAlignment="1">
      <alignment horizontal="right" vertical="center" wrapText="1"/>
    </xf>
    <xf numFmtId="10" fontId="110" fillId="56" borderId="114" xfId="5" applyNumberFormat="1" applyFont="1" applyFill="1" applyBorder="1" applyAlignment="1">
      <alignment horizontal="center" vertical="center" wrapText="1"/>
    </xf>
    <xf numFmtId="10" fontId="110" fillId="56" borderId="4" xfId="5" applyNumberFormat="1" applyFont="1" applyFill="1" applyBorder="1" applyAlignment="1">
      <alignment horizontal="center" vertical="center" wrapText="1"/>
    </xf>
    <xf numFmtId="10" fontId="110" fillId="56" borderId="94" xfId="7" applyNumberFormat="1" applyFont="1" applyFill="1" applyBorder="1" applyAlignment="1">
      <alignment horizontal="center" vertical="center" wrapText="1"/>
    </xf>
    <xf numFmtId="0" fontId="117" fillId="53" borderId="2" xfId="5" applyFont="1" applyFill="1" applyBorder="1" applyAlignment="1">
      <alignment vertical="center" wrapText="1"/>
    </xf>
    <xf numFmtId="3" fontId="117" fillId="53" borderId="2" xfId="5" applyNumberFormat="1" applyFont="1" applyFill="1" applyBorder="1" applyAlignment="1">
      <alignment vertical="center" wrapText="1"/>
    </xf>
    <xf numFmtId="10" fontId="110" fillId="56" borderId="118" xfId="7" applyNumberFormat="1" applyFont="1" applyFill="1" applyBorder="1" applyAlignment="1">
      <alignment horizontal="center" vertical="center" wrapText="1"/>
    </xf>
    <xf numFmtId="10" fontId="110" fillId="56" borderId="119" xfId="7" applyNumberFormat="1" applyFont="1" applyFill="1" applyBorder="1" applyAlignment="1">
      <alignment horizontal="center" vertical="center" wrapText="1"/>
    </xf>
    <xf numFmtId="10" fontId="110" fillId="56" borderId="120" xfId="7" applyNumberFormat="1" applyFont="1" applyFill="1" applyBorder="1" applyAlignment="1">
      <alignment horizontal="center" vertical="center" wrapText="1"/>
    </xf>
    <xf numFmtId="0" fontId="117" fillId="53" borderId="17" xfId="5" applyFont="1" applyFill="1" applyBorder="1" applyAlignment="1">
      <alignment vertical="center" wrapText="1"/>
    </xf>
    <xf numFmtId="0" fontId="121" fillId="53" borderId="0" xfId="16" applyFont="1" applyFill="1" applyAlignment="1" applyProtection="1">
      <alignment horizontal="center" vertical="center" wrapText="1"/>
    </xf>
    <xf numFmtId="3" fontId="28" fillId="56" borderId="4" xfId="5" applyNumberFormat="1" applyFont="1" applyFill="1" applyBorder="1" applyAlignment="1">
      <alignment horizontal="right" vertical="center" wrapText="1"/>
    </xf>
    <xf numFmtId="0" fontId="121" fillId="53" borderId="4" xfId="16" applyFont="1" applyFill="1" applyBorder="1" applyAlignment="1" applyProtection="1">
      <alignment horizontal="center" vertical="center" wrapText="1"/>
    </xf>
    <xf numFmtId="0" fontId="118" fillId="13" borderId="0" xfId="16" applyFont="1" applyFill="1" applyBorder="1" applyAlignment="1" applyProtection="1">
      <alignment horizontal="center" vertical="center" wrapText="1"/>
    </xf>
    <xf numFmtId="0" fontId="121" fillId="13" borderId="0" xfId="16" applyFont="1" applyFill="1" applyAlignment="1" applyProtection="1">
      <alignment horizontal="center" vertical="center" wrapText="1"/>
    </xf>
    <xf numFmtId="3" fontId="28" fillId="13" borderId="0" xfId="5" applyNumberFormat="1" applyFont="1" applyFill="1" applyAlignment="1">
      <alignment horizontal="right" vertical="center" wrapText="1"/>
    </xf>
    <xf numFmtId="3" fontId="110" fillId="13" borderId="0" xfId="5" applyNumberFormat="1" applyFont="1" applyFill="1" applyAlignment="1">
      <alignment horizontal="right" vertical="center" wrapText="1"/>
    </xf>
    <xf numFmtId="0" fontId="121" fillId="13" borderId="0" xfId="16" applyFont="1" applyFill="1" applyBorder="1" applyAlignment="1" applyProtection="1">
      <alignment horizontal="center" vertical="center" wrapText="1"/>
    </xf>
    <xf numFmtId="0" fontId="14" fillId="13" borderId="26" xfId="5" applyFont="1" applyFill="1" applyBorder="1" applyAlignment="1" applyProtection="1">
      <alignment vertical="center" wrapText="1"/>
      <protection locked="0"/>
    </xf>
    <xf numFmtId="0" fontId="122" fillId="13" borderId="0" xfId="16" applyFont="1" applyFill="1" applyBorder="1" applyAlignment="1" applyProtection="1">
      <alignment horizontal="justify" vertical="center" wrapText="1"/>
    </xf>
    <xf numFmtId="0" fontId="121" fillId="53" borderId="0" xfId="16" applyFont="1" applyFill="1" applyBorder="1" applyAlignment="1" applyProtection="1">
      <alignment horizontal="center" vertical="center" wrapText="1"/>
    </xf>
    <xf numFmtId="0" fontId="30" fillId="36" borderId="40" xfId="0" applyFont="1" applyFill="1" applyBorder="1" applyAlignment="1">
      <alignment horizontal="center" vertical="center" wrapText="1"/>
    </xf>
    <xf numFmtId="0" fontId="35" fillId="13" borderId="0" xfId="0" applyFont="1" applyFill="1" applyAlignment="1">
      <alignment horizontal="justify" vertical="center" wrapText="1"/>
    </xf>
    <xf numFmtId="0" fontId="74" fillId="13" borderId="0" xfId="0" applyFont="1" applyFill="1" applyAlignment="1" applyProtection="1">
      <alignment horizontal="center" vertical="center" wrapText="1"/>
      <protection hidden="1"/>
    </xf>
    <xf numFmtId="0" fontId="35" fillId="13" borderId="26" xfId="0" applyFont="1" applyFill="1" applyBorder="1" applyAlignment="1" applyProtection="1">
      <alignment horizontal="center" vertical="center" wrapText="1"/>
      <protection hidden="1"/>
    </xf>
    <xf numFmtId="0" fontId="30" fillId="0" borderId="19" xfId="0" applyFont="1" applyBorder="1" applyAlignment="1">
      <alignment horizontal="center" vertical="center" wrapText="1"/>
    </xf>
    <xf numFmtId="0" fontId="124" fillId="0" borderId="19" xfId="0" applyFont="1" applyBorder="1" applyAlignment="1">
      <alignment horizontal="center" vertical="center" wrapText="1"/>
    </xf>
    <xf numFmtId="0" fontId="31" fillId="0" borderId="19" xfId="0" applyFont="1" applyBorder="1" applyAlignment="1">
      <alignment horizontal="center" vertical="center" wrapText="1"/>
    </xf>
    <xf numFmtId="0" fontId="33" fillId="0" borderId="19" xfId="0" applyFont="1" applyBorder="1" applyAlignment="1">
      <alignment horizontal="center" vertical="center" wrapText="1"/>
    </xf>
    <xf numFmtId="0" fontId="126" fillId="0" borderId="19" xfId="0" applyFont="1" applyBorder="1" applyAlignment="1">
      <alignment horizontal="center" vertical="center" wrapText="1"/>
    </xf>
    <xf numFmtId="0" fontId="127" fillId="13" borderId="0" xfId="0" applyFont="1" applyFill="1" applyAlignment="1" applyProtection="1">
      <alignment horizontal="center" vertical="center" wrapText="1"/>
      <protection hidden="1"/>
    </xf>
    <xf numFmtId="10" fontId="10" fillId="13" borderId="0" xfId="2" applyNumberFormat="1" applyFont="1" applyFill="1" applyBorder="1" applyAlignment="1" applyProtection="1">
      <alignment horizontal="center" vertical="center" wrapText="1"/>
      <protection hidden="1"/>
    </xf>
    <xf numFmtId="0" fontId="20" fillId="13" borderId="0" xfId="0" applyFont="1" applyFill="1" applyAlignment="1" applyProtection="1">
      <alignment horizontal="center" vertical="center" wrapText="1"/>
      <protection hidden="1"/>
    </xf>
    <xf numFmtId="3" fontId="20" fillId="13" borderId="0" xfId="0" applyNumberFormat="1" applyFont="1" applyFill="1" applyAlignment="1" applyProtection="1">
      <alignment horizontal="center" vertical="center" wrapText="1"/>
      <protection hidden="1"/>
    </xf>
    <xf numFmtId="3" fontId="20" fillId="13" borderId="26" xfId="0" applyNumberFormat="1" applyFont="1" applyFill="1" applyBorder="1" applyAlignment="1" applyProtection="1">
      <alignment vertical="center" wrapText="1"/>
      <protection hidden="1"/>
    </xf>
    <xf numFmtId="0" fontId="125" fillId="0" borderId="19" xfId="0" applyFont="1" applyBorder="1" applyAlignment="1">
      <alignment horizontal="center" vertical="center" wrapText="1"/>
    </xf>
    <xf numFmtId="0" fontId="32" fillId="0" borderId="19" xfId="0" applyFont="1" applyBorder="1" applyAlignment="1">
      <alignment horizontal="center" vertical="center" wrapText="1"/>
    </xf>
    <xf numFmtId="0" fontId="31" fillId="0" borderId="102" xfId="0" applyFont="1" applyBorder="1" applyAlignment="1">
      <alignment horizontal="center" vertical="center" wrapText="1"/>
    </xf>
    <xf numFmtId="0" fontId="32" fillId="0" borderId="0" xfId="0" applyFont="1" applyAlignment="1">
      <alignment horizontal="center" vertical="center" wrapText="1"/>
    </xf>
    <xf numFmtId="0" fontId="125" fillId="0" borderId="0" xfId="0" applyFont="1" applyAlignment="1">
      <alignment horizontal="center" vertical="center" wrapText="1"/>
    </xf>
    <xf numFmtId="0" fontId="20" fillId="0" borderId="26" xfId="0" applyFont="1" applyBorder="1" applyAlignment="1">
      <alignment vertical="center" wrapText="1"/>
    </xf>
    <xf numFmtId="0" fontId="24" fillId="0" borderId="14" xfId="22" applyFont="1" applyFill="1" applyBorder="1" applyAlignment="1" applyProtection="1">
      <alignment horizontal="center" vertical="center" wrapText="1"/>
      <protection hidden="1"/>
    </xf>
    <xf numFmtId="2" fontId="19" fillId="44" borderId="14" xfId="18" applyNumberFormat="1" applyFont="1" applyFill="1" applyBorder="1" applyAlignment="1" applyProtection="1">
      <alignment horizontal="justify" vertical="center" wrapText="1"/>
      <protection hidden="1"/>
    </xf>
    <xf numFmtId="0" fontId="24" fillId="0" borderId="14" xfId="22" applyFont="1" applyFill="1" applyBorder="1" applyAlignment="1" applyProtection="1">
      <alignment horizontal="justify" vertical="center" wrapText="1"/>
      <protection hidden="1"/>
    </xf>
    <xf numFmtId="0" fontId="20" fillId="0" borderId="0" xfId="0" applyFont="1" applyAlignment="1" applyProtection="1">
      <alignment horizontal="justify" vertical="center" wrapText="1"/>
      <protection hidden="1"/>
    </xf>
    <xf numFmtId="2" fontId="21" fillId="20" borderId="4" xfId="18" applyNumberFormat="1" applyFont="1" applyFill="1" applyBorder="1" applyAlignment="1" applyProtection="1">
      <alignment horizontal="center" vertical="center" wrapText="1"/>
      <protection hidden="1"/>
    </xf>
    <xf numFmtId="2" fontId="20" fillId="13" borderId="4" xfId="18" applyNumberFormat="1" applyFont="1" applyFill="1" applyBorder="1" applyAlignment="1" applyProtection="1">
      <alignment horizontal="justify" vertical="center" wrapText="1"/>
      <protection hidden="1"/>
    </xf>
    <xf numFmtId="0" fontId="29" fillId="0" borderId="102" xfId="0" applyFont="1" applyBorder="1" applyAlignment="1">
      <alignment horizontal="center" vertical="center" wrapText="1"/>
    </xf>
    <xf numFmtId="0" fontId="129" fillId="0" borderId="0" xfId="0" applyFont="1" applyAlignment="1">
      <alignment horizontal="center" vertical="center" wrapText="1"/>
    </xf>
    <xf numFmtId="0" fontId="132" fillId="0" borderId="0" xfId="0" applyFont="1" applyAlignment="1">
      <alignment horizontal="center" vertical="center" wrapText="1"/>
    </xf>
    <xf numFmtId="4" fontId="129" fillId="0" borderId="4" xfId="0" applyNumberFormat="1" applyFont="1" applyBorder="1" applyAlignment="1">
      <alignment horizontal="center" vertical="center" wrapText="1"/>
    </xf>
    <xf numFmtId="4" fontId="133" fillId="0" borderId="4" xfId="0" applyNumberFormat="1" applyFont="1" applyBorder="1" applyAlignment="1">
      <alignment horizontal="center" vertical="center" wrapText="1"/>
    </xf>
    <xf numFmtId="4" fontId="129" fillId="0" borderId="0" xfId="0" applyNumberFormat="1" applyFont="1" applyAlignment="1">
      <alignment horizontal="center" vertical="center" wrapText="1"/>
    </xf>
    <xf numFmtId="4" fontId="73" fillId="0" borderId="4" xfId="0" applyNumberFormat="1" applyFont="1" applyBorder="1" applyAlignment="1">
      <alignment horizontal="center" vertical="center" wrapText="1"/>
    </xf>
    <xf numFmtId="0" fontId="21" fillId="0" borderId="0" xfId="0" applyFont="1" applyAlignment="1">
      <alignment horizontal="center" vertical="center" wrapText="1"/>
    </xf>
    <xf numFmtId="4" fontId="133" fillId="0" borderId="0" xfId="0" applyNumberFormat="1" applyFont="1" applyAlignment="1">
      <alignment horizontal="center" vertical="center" wrapText="1"/>
    </xf>
    <xf numFmtId="4" fontId="73" fillId="0" borderId="0" xfId="0" applyNumberFormat="1" applyFont="1" applyAlignment="1">
      <alignment horizontal="center" vertical="center" wrapText="1"/>
    </xf>
    <xf numFmtId="0" fontId="35" fillId="11" borderId="4" xfId="0" applyFont="1" applyFill="1" applyBorder="1" applyAlignment="1">
      <alignment horizontal="justify" vertical="center" wrapText="1"/>
    </xf>
    <xf numFmtId="0" fontId="74" fillId="11" borderId="4" xfId="0" applyFont="1" applyFill="1" applyBorder="1" applyAlignment="1" applyProtection="1">
      <alignment horizontal="center" vertical="center" wrapText="1"/>
      <protection hidden="1"/>
    </xf>
    <xf numFmtId="0" fontId="10" fillId="11" borderId="4" xfId="0" applyFont="1" applyFill="1" applyBorder="1" applyAlignment="1" applyProtection="1">
      <alignment horizontal="center" vertical="center" wrapText="1"/>
      <protection hidden="1"/>
    </xf>
    <xf numFmtId="0" fontId="25" fillId="11" borderId="4" xfId="0" applyFont="1" applyFill="1" applyBorder="1" applyAlignment="1" applyProtection="1">
      <alignment horizontal="center" vertical="center" wrapText="1"/>
      <protection hidden="1"/>
    </xf>
    <xf numFmtId="0" fontId="127" fillId="36" borderId="4" xfId="0" applyFont="1" applyFill="1" applyBorder="1" applyAlignment="1" applyProtection="1">
      <alignment horizontal="center" vertical="center" wrapText="1"/>
      <protection hidden="1"/>
    </xf>
    <xf numFmtId="10" fontId="10" fillId="36" borderId="4" xfId="2" applyNumberFormat="1" applyFont="1" applyFill="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3" fontId="20" fillId="0" borderId="4" xfId="0" applyNumberFormat="1" applyFont="1" applyBorder="1" applyAlignment="1" applyProtection="1">
      <alignment horizontal="center" vertical="center" wrapText="1"/>
      <protection hidden="1"/>
    </xf>
    <xf numFmtId="3" fontId="20" fillId="0" borderId="4" xfId="0" applyNumberFormat="1" applyFont="1" applyBorder="1" applyAlignment="1" applyProtection="1">
      <alignment vertical="center" wrapText="1"/>
      <protection hidden="1"/>
    </xf>
    <xf numFmtId="0" fontId="73" fillId="13" borderId="0" xfId="21" applyFont="1" applyFill="1" applyBorder="1" applyAlignment="1">
      <alignment horizontal="center" vertical="center" wrapText="1"/>
    </xf>
    <xf numFmtId="0" fontId="112" fillId="38" borderId="19" xfId="21" applyFont="1" applyBorder="1" applyAlignment="1">
      <alignment horizontal="center" vertical="center" wrapText="1"/>
    </xf>
    <xf numFmtId="0" fontId="112" fillId="13" borderId="0" xfId="21" applyFont="1" applyFill="1" applyBorder="1" applyAlignment="1">
      <alignment horizontal="center" vertical="center" wrapText="1"/>
    </xf>
    <xf numFmtId="0" fontId="17" fillId="38" borderId="19" xfId="21" applyFont="1" applyBorder="1" applyAlignment="1">
      <alignment horizontal="center" vertical="center" wrapText="1"/>
    </xf>
    <xf numFmtId="0" fontId="137" fillId="4" borderId="40" xfId="16" applyFont="1" applyFill="1" applyBorder="1" applyAlignment="1" applyProtection="1">
      <alignment horizontal="center" vertical="center" wrapText="1"/>
    </xf>
    <xf numFmtId="0" fontId="137" fillId="13" borderId="0" xfId="16" applyFont="1" applyFill="1" applyBorder="1" applyAlignment="1" applyProtection="1">
      <alignment horizontal="center" vertical="center" wrapText="1"/>
    </xf>
    <xf numFmtId="0" fontId="17" fillId="38" borderId="124" xfId="21" applyFont="1" applyBorder="1" applyAlignment="1">
      <alignment horizontal="center" vertical="center" wrapText="1"/>
    </xf>
    <xf numFmtId="10" fontId="137" fillId="4" borderId="38" xfId="16" applyNumberFormat="1" applyFont="1" applyFill="1" applyBorder="1" applyAlignment="1" applyProtection="1">
      <alignment horizontal="center" vertical="center" wrapText="1"/>
    </xf>
    <xf numFmtId="0" fontId="60" fillId="0" borderId="0" xfId="0" applyFont="1" applyAlignment="1">
      <alignment horizontal="center" vertical="center" wrapText="1"/>
    </xf>
    <xf numFmtId="0" fontId="60" fillId="13" borderId="102" xfId="0" applyFont="1" applyFill="1" applyBorder="1" applyAlignment="1">
      <alignment horizontal="center" vertical="center" wrapText="1"/>
    </xf>
    <xf numFmtId="0" fontId="60" fillId="13" borderId="0" xfId="0" applyFont="1" applyFill="1" applyAlignment="1">
      <alignment horizontal="center" vertical="center" wrapText="1"/>
    </xf>
    <xf numFmtId="0" fontId="17" fillId="13" borderId="0" xfId="21" applyFont="1" applyFill="1" applyBorder="1" applyAlignment="1">
      <alignment horizontal="center" vertical="center" wrapText="1"/>
    </xf>
    <xf numFmtId="10" fontId="137" fillId="13" borderId="0" xfId="16" applyNumberFormat="1" applyFont="1" applyFill="1" applyBorder="1" applyAlignment="1" applyProtection="1">
      <alignment horizontal="center" vertical="center" wrapText="1"/>
    </xf>
    <xf numFmtId="0" fontId="140" fillId="6" borderId="19" xfId="5" applyFont="1" applyFill="1" applyBorder="1" applyAlignment="1">
      <alignment horizontal="center" vertical="center" wrapText="1"/>
    </xf>
    <xf numFmtId="0" fontId="141" fillId="46" borderId="19" xfId="5" applyFont="1" applyFill="1" applyBorder="1" applyAlignment="1">
      <alignment horizontal="center" vertical="center" wrapText="1"/>
    </xf>
    <xf numFmtId="9" fontId="141" fillId="46" borderId="19" xfId="7" applyFont="1" applyFill="1" applyBorder="1" applyAlignment="1">
      <alignment horizontal="center" vertical="center" wrapText="1"/>
    </xf>
    <xf numFmtId="0" fontId="140" fillId="13" borderId="0" xfId="5" applyFont="1" applyFill="1" applyAlignment="1">
      <alignment horizontal="center" vertical="center" wrapText="1"/>
    </xf>
    <xf numFmtId="0" fontId="141" fillId="13" borderId="0" xfId="5" applyFont="1" applyFill="1" applyAlignment="1">
      <alignment horizontal="center" vertical="center" wrapText="1"/>
    </xf>
    <xf numFmtId="9" fontId="141" fillId="13" borderId="0" xfId="7" applyFont="1" applyFill="1" applyBorder="1" applyAlignment="1">
      <alignment horizontal="center" vertical="center" wrapText="1"/>
    </xf>
    <xf numFmtId="0" fontId="140" fillId="6" borderId="38" xfId="5" applyFont="1" applyFill="1" applyBorder="1" applyAlignment="1">
      <alignment horizontal="center" vertical="center" wrapText="1"/>
    </xf>
    <xf numFmtId="0" fontId="140" fillId="6" borderId="38" xfId="5" applyFont="1" applyFill="1" applyBorder="1" applyAlignment="1">
      <alignment vertical="center" wrapText="1"/>
    </xf>
    <xf numFmtId="0" fontId="140" fillId="0" borderId="38" xfId="5" applyFont="1" applyBorder="1" applyAlignment="1">
      <alignment horizontal="center" vertical="center" wrapText="1"/>
    </xf>
    <xf numFmtId="0" fontId="140" fillId="13" borderId="103" xfId="5" applyFont="1" applyFill="1" applyBorder="1" applyAlignment="1">
      <alignment horizontal="center" vertical="center" wrapText="1"/>
    </xf>
    <xf numFmtId="0" fontId="140" fillId="13" borderId="2" xfId="5" applyFont="1" applyFill="1" applyBorder="1" applyAlignment="1">
      <alignment vertical="center" wrapText="1"/>
    </xf>
    <xf numFmtId="9" fontId="141" fillId="13" borderId="2" xfId="7" applyFont="1" applyFill="1" applyBorder="1" applyAlignment="1">
      <alignment horizontal="center" vertical="center" wrapText="1"/>
    </xf>
    <xf numFmtId="0" fontId="14" fillId="53" borderId="3" xfId="5" applyFont="1" applyFill="1" applyBorder="1" applyAlignment="1" applyProtection="1">
      <alignment vertical="center" wrapText="1"/>
      <protection locked="0"/>
    </xf>
    <xf numFmtId="0" fontId="140" fillId="13" borderId="0" xfId="5" applyFont="1" applyFill="1" applyAlignment="1">
      <alignment vertical="center" wrapText="1"/>
    </xf>
    <xf numFmtId="0" fontId="39" fillId="53" borderId="0" xfId="5" applyFont="1" applyFill="1" applyAlignment="1" applyProtection="1">
      <alignment vertical="center" wrapText="1"/>
      <protection locked="0"/>
    </xf>
    <xf numFmtId="0" fontId="25" fillId="47" borderId="0" xfId="0" applyFont="1" applyFill="1" applyAlignment="1">
      <alignment wrapText="1"/>
    </xf>
    <xf numFmtId="0" fontId="14" fillId="0" borderId="0" xfId="0" applyFont="1" applyAlignment="1">
      <alignment horizontal="justify" vertical="center" wrapText="1"/>
    </xf>
    <xf numFmtId="0" fontId="14" fillId="0" borderId="0" xfId="0" applyFont="1" applyAlignment="1" applyProtection="1">
      <alignment vertical="center"/>
      <protection hidden="1"/>
    </xf>
    <xf numFmtId="0" fontId="14" fillId="0" borderId="0" xfId="0" applyFont="1" applyAlignment="1" applyProtection="1">
      <alignment vertical="center"/>
      <protection locked="0"/>
    </xf>
    <xf numFmtId="0" fontId="19" fillId="0" borderId="0" xfId="0" applyFont="1" applyAlignment="1" applyProtection="1">
      <alignment vertical="center"/>
      <protection hidden="1"/>
    </xf>
    <xf numFmtId="0" fontId="25" fillId="0" borderId="0" xfId="0" applyFont="1" applyAlignment="1" applyProtection="1">
      <alignment horizontal="right" vertical="center"/>
      <protection hidden="1"/>
    </xf>
    <xf numFmtId="0" fontId="6" fillId="0" borderId="0" xfId="5" applyAlignment="1" applyProtection="1">
      <alignment vertical="center"/>
      <protection locked="0"/>
    </xf>
    <xf numFmtId="0" fontId="6" fillId="53" borderId="0" xfId="5" applyFill="1" applyAlignment="1" applyProtection="1">
      <alignment vertical="center"/>
      <protection locked="0"/>
    </xf>
    <xf numFmtId="0" fontId="102" fillId="0" borderId="0" xfId="5" applyFont="1" applyAlignment="1">
      <alignment vertical="center" wrapText="1"/>
    </xf>
    <xf numFmtId="0" fontId="71" fillId="0" borderId="0" xfId="0" applyFont="1" applyAlignment="1">
      <alignment vertical="center"/>
    </xf>
    <xf numFmtId="0" fontId="71" fillId="0" borderId="0" xfId="0" applyFont="1" applyAlignment="1">
      <alignment vertical="center" wrapText="1"/>
    </xf>
    <xf numFmtId="0" fontId="0" fillId="0" borderId="0" xfId="0" applyAlignment="1">
      <alignment vertical="center" wrapText="1"/>
    </xf>
    <xf numFmtId="9" fontId="0" fillId="0" borderId="0" xfId="2" applyFont="1" applyAlignment="1">
      <alignment vertical="center"/>
    </xf>
    <xf numFmtId="10" fontId="0" fillId="0" borderId="0" xfId="0" applyNumberFormat="1" applyAlignment="1">
      <alignment vertical="center"/>
    </xf>
    <xf numFmtId="0" fontId="143" fillId="60" borderId="16" xfId="5" applyFont="1" applyFill="1" applyBorder="1" applyAlignment="1" applyProtection="1">
      <alignment horizontal="justify" vertical="center" wrapText="1"/>
      <protection hidden="1"/>
    </xf>
    <xf numFmtId="9" fontId="144" fillId="60" borderId="4" xfId="7" applyFont="1" applyFill="1" applyBorder="1" applyAlignment="1" applyProtection="1">
      <alignment horizontal="center" vertical="center" wrapText="1"/>
      <protection hidden="1"/>
    </xf>
    <xf numFmtId="9" fontId="144" fillId="60" borderId="9" xfId="7" applyFont="1" applyFill="1" applyBorder="1" applyAlignment="1" applyProtection="1">
      <alignment horizontal="center" vertical="center" wrapText="1"/>
      <protection hidden="1"/>
    </xf>
    <xf numFmtId="9" fontId="145" fillId="41" borderId="4" xfId="23" applyNumberFormat="1" applyFont="1" applyBorder="1" applyAlignment="1" applyProtection="1">
      <alignment horizontal="center" vertical="center" wrapText="1"/>
      <protection hidden="1"/>
    </xf>
    <xf numFmtId="9" fontId="145" fillId="37" borderId="4" xfId="32" applyNumberFormat="1" applyFont="1" applyBorder="1" applyAlignment="1" applyProtection="1">
      <alignment horizontal="center" vertical="center" wrapText="1"/>
      <protection hidden="1"/>
    </xf>
    <xf numFmtId="9" fontId="147" fillId="59" borderId="4" xfId="7" applyFont="1" applyFill="1" applyBorder="1" applyAlignment="1" applyProtection="1">
      <alignment horizontal="center" vertical="center" wrapText="1"/>
      <protection hidden="1"/>
    </xf>
    <xf numFmtId="0" fontId="58" fillId="0" borderId="0" xfId="5" applyFont="1" applyAlignment="1">
      <alignment horizontal="justify" vertical="center" wrapText="1"/>
    </xf>
    <xf numFmtId="0" fontId="28" fillId="14" borderId="16" xfId="5" applyFont="1" applyFill="1" applyBorder="1" applyAlignment="1" applyProtection="1">
      <alignment horizontal="justify" vertical="center" wrapText="1"/>
      <protection hidden="1"/>
    </xf>
    <xf numFmtId="9" fontId="147" fillId="14" borderId="4" xfId="7" applyFont="1" applyFill="1" applyBorder="1" applyAlignment="1" applyProtection="1">
      <alignment horizontal="center" vertical="center" wrapText="1"/>
      <protection hidden="1"/>
    </xf>
    <xf numFmtId="9" fontId="147" fillId="14" borderId="9" xfId="7" applyFont="1" applyFill="1" applyBorder="1" applyAlignment="1" applyProtection="1">
      <alignment horizontal="center" vertical="center" wrapText="1"/>
      <protection hidden="1"/>
    </xf>
    <xf numFmtId="170" fontId="11" fillId="61" borderId="4" xfId="7" applyNumberFormat="1" applyFont="1" applyFill="1" applyBorder="1" applyAlignment="1" applyProtection="1">
      <alignment horizontal="center" vertical="center"/>
      <protection hidden="1"/>
    </xf>
    <xf numFmtId="0" fontId="148" fillId="13" borderId="0" xfId="5" applyFont="1" applyFill="1" applyAlignment="1">
      <alignment horizontal="center" vertical="center"/>
    </xf>
    <xf numFmtId="9" fontId="71" fillId="0" borderId="0" xfId="2" applyFont="1" applyAlignment="1">
      <alignment vertical="center"/>
    </xf>
    <xf numFmtId="9" fontId="0" fillId="0" borderId="0" xfId="0" applyNumberFormat="1" applyAlignment="1">
      <alignment vertical="center"/>
    </xf>
    <xf numFmtId="0" fontId="6" fillId="53" borderId="102" xfId="5" applyFill="1" applyBorder="1" applyAlignment="1" applyProtection="1">
      <alignment vertical="center"/>
      <protection locked="0"/>
    </xf>
    <xf numFmtId="9" fontId="71" fillId="0" borderId="0" xfId="0" applyNumberFormat="1" applyFont="1" applyAlignment="1">
      <alignment vertical="center"/>
    </xf>
    <xf numFmtId="0" fontId="0" fillId="0" borderId="102" xfId="0" applyBorder="1" applyAlignment="1">
      <alignment vertical="center"/>
    </xf>
    <xf numFmtId="0" fontId="10" fillId="62" borderId="62" xfId="5" applyFont="1" applyFill="1" applyBorder="1" applyAlignment="1" applyProtection="1">
      <alignment horizontal="center" vertical="center" wrapText="1"/>
      <protection hidden="1"/>
    </xf>
    <xf numFmtId="0" fontId="149" fillId="62" borderId="4" xfId="5" applyFont="1" applyFill="1" applyBorder="1" applyAlignment="1" applyProtection="1">
      <alignment horizontal="center" vertical="center"/>
      <protection hidden="1"/>
    </xf>
    <xf numFmtId="0" fontId="47" fillId="53" borderId="26" xfId="5" applyFont="1" applyFill="1" applyBorder="1" applyAlignment="1" applyProtection="1">
      <alignment vertical="center"/>
      <protection locked="0"/>
    </xf>
    <xf numFmtId="0" fontId="0" fillId="0" borderId="103" xfId="0" applyBorder="1" applyAlignment="1">
      <alignment vertical="center"/>
    </xf>
    <xf numFmtId="0" fontId="0" fillId="0" borderId="2" xfId="0" applyBorder="1" applyAlignment="1">
      <alignment vertical="center"/>
    </xf>
    <xf numFmtId="0" fontId="6" fillId="53" borderId="2" xfId="5" applyFill="1" applyBorder="1" applyAlignment="1" applyProtection="1">
      <alignment vertical="center"/>
      <protection locked="0"/>
    </xf>
    <xf numFmtId="0" fontId="10" fillId="62" borderId="126" xfId="5" applyFont="1" applyFill="1" applyBorder="1" applyAlignment="1" applyProtection="1">
      <alignment horizontal="center" vertical="center" wrapText="1"/>
      <protection hidden="1"/>
    </xf>
    <xf numFmtId="0" fontId="149" fillId="62" borderId="22" xfId="5" applyFont="1" applyFill="1" applyBorder="1" applyAlignment="1" applyProtection="1">
      <alignment horizontal="center" vertical="center"/>
      <protection hidden="1"/>
    </xf>
    <xf numFmtId="0" fontId="47" fillId="0" borderId="3" xfId="0" applyFont="1" applyBorder="1" applyAlignment="1">
      <alignment vertical="center"/>
    </xf>
    <xf numFmtId="0" fontId="10" fillId="0" borderId="0" xfId="5" applyFont="1" applyAlignment="1">
      <alignment horizontal="center" vertical="center" wrapText="1"/>
    </xf>
    <xf numFmtId="0" fontId="149" fillId="0" borderId="0" xfId="5" applyFont="1" applyAlignment="1">
      <alignment horizontal="center" vertical="center"/>
    </xf>
    <xf numFmtId="0" fontId="28" fillId="63" borderId="19" xfId="0" applyFont="1" applyFill="1" applyBorder="1" applyAlignment="1" applyProtection="1">
      <alignment horizontal="center" vertical="center"/>
      <protection hidden="1"/>
    </xf>
    <xf numFmtId="0" fontId="28" fillId="63" borderId="5" xfId="0" applyFont="1" applyFill="1" applyBorder="1" applyAlignment="1" applyProtection="1">
      <alignment horizontal="center" vertical="center"/>
      <protection hidden="1"/>
    </xf>
    <xf numFmtId="0" fontId="0" fillId="13" borderId="0" xfId="0" applyFill="1" applyAlignment="1">
      <alignment vertical="center"/>
    </xf>
    <xf numFmtId="0" fontId="10" fillId="13" borderId="0" xfId="5" applyFont="1" applyFill="1" applyAlignment="1">
      <alignment horizontal="center" vertical="center" wrapText="1"/>
    </xf>
    <xf numFmtId="0" fontId="149" fillId="13" borderId="0" xfId="5" applyFont="1" applyFill="1" applyAlignment="1">
      <alignment horizontal="center" vertical="center"/>
    </xf>
    <xf numFmtId="0" fontId="117" fillId="53" borderId="0" xfId="5" applyFont="1" applyFill="1" applyAlignment="1" applyProtection="1">
      <alignment vertical="center"/>
      <protection locked="0"/>
    </xf>
    <xf numFmtId="0" fontId="117" fillId="53" borderId="0" xfId="5" applyFont="1" applyFill="1" applyAlignment="1" applyProtection="1">
      <alignment horizontal="center" vertical="center"/>
      <protection locked="0"/>
    </xf>
    <xf numFmtId="0" fontId="53" fillId="53" borderId="0" xfId="5" applyFont="1" applyFill="1" applyAlignment="1" applyProtection="1">
      <alignment horizontal="center" vertical="center"/>
      <protection locked="0"/>
    </xf>
    <xf numFmtId="0" fontId="35" fillId="36" borderId="18"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117" fillId="4" borderId="4" xfId="5" applyFont="1" applyFill="1" applyBorder="1" applyAlignment="1" applyProtection="1">
      <alignment horizontal="center" vertical="center" wrapText="1"/>
      <protection hidden="1"/>
    </xf>
    <xf numFmtId="0" fontId="151" fillId="4" borderId="4" xfId="5" applyFont="1" applyFill="1" applyBorder="1" applyAlignment="1" applyProtection="1">
      <alignment horizontal="justify" vertical="center" wrapText="1"/>
      <protection hidden="1"/>
    </xf>
    <xf numFmtId="4" fontId="151" fillId="15" borderId="4" xfId="5" applyNumberFormat="1" applyFont="1" applyFill="1" applyBorder="1" applyAlignment="1">
      <alignment horizontal="center" vertical="center" wrapText="1"/>
    </xf>
    <xf numFmtId="0" fontId="152" fillId="4" borderId="4" xfId="5" applyFont="1" applyFill="1" applyBorder="1" applyAlignment="1" applyProtection="1">
      <alignment horizontal="center" vertical="center" wrapText="1"/>
      <protection hidden="1"/>
    </xf>
    <xf numFmtId="0" fontId="9" fillId="4" borderId="4" xfId="5" applyFont="1" applyFill="1" applyBorder="1" applyAlignment="1" applyProtection="1">
      <alignment horizontal="justify" vertical="center" wrapText="1"/>
      <protection hidden="1"/>
    </xf>
    <xf numFmtId="0" fontId="53" fillId="4" borderId="4" xfId="5" applyFont="1" applyFill="1" applyBorder="1" applyAlignment="1" applyProtection="1">
      <alignment horizontal="center" vertical="center" wrapText="1"/>
      <protection hidden="1"/>
    </xf>
    <xf numFmtId="0" fontId="152" fillId="4" borderId="4" xfId="5" applyFont="1" applyFill="1" applyBorder="1" applyAlignment="1" applyProtection="1">
      <alignment horizontal="justify" vertical="center" wrapText="1"/>
      <protection hidden="1"/>
    </xf>
    <xf numFmtId="10" fontId="110" fillId="15" borderId="17" xfId="5" applyNumberFormat="1" applyFont="1" applyFill="1" applyBorder="1" applyAlignment="1" applyProtection="1">
      <alignment horizontal="center" vertical="center"/>
      <protection locked="0"/>
    </xf>
    <xf numFmtId="3" fontId="151" fillId="15" borderId="4" xfId="5" applyNumberFormat="1" applyFont="1" applyFill="1" applyBorder="1" applyAlignment="1">
      <alignment horizontal="center" vertical="center" wrapText="1"/>
    </xf>
    <xf numFmtId="0" fontId="27" fillId="4" borderId="4" xfId="5" applyFont="1" applyFill="1" applyBorder="1" applyAlignment="1" applyProtection="1">
      <alignment horizontal="center" vertical="center" wrapText="1"/>
      <protection hidden="1"/>
    </xf>
    <xf numFmtId="3" fontId="152" fillId="15" borderId="4" xfId="5" applyNumberFormat="1" applyFont="1" applyFill="1" applyBorder="1" applyAlignment="1">
      <alignment horizontal="center" vertical="center" wrapText="1"/>
    </xf>
    <xf numFmtId="4" fontId="152" fillId="15" borderId="4" xfId="5" applyNumberFormat="1" applyFont="1" applyFill="1" applyBorder="1" applyAlignment="1">
      <alignment horizontal="center" vertical="center" wrapText="1"/>
    </xf>
    <xf numFmtId="0" fontId="9" fillId="4" borderId="4" xfId="5" applyFont="1" applyFill="1" applyBorder="1" applyAlignment="1" applyProtection="1">
      <alignment horizontal="center" vertical="center" wrapText="1"/>
      <protection hidden="1"/>
    </xf>
    <xf numFmtId="10" fontId="28" fillId="15" borderId="17" xfId="5" applyNumberFormat="1" applyFont="1" applyFill="1" applyBorder="1" applyAlignment="1" applyProtection="1">
      <alignment horizontal="center" vertical="center"/>
      <protection locked="0"/>
    </xf>
    <xf numFmtId="0" fontId="151" fillId="15" borderId="4" xfId="5" applyFont="1" applyFill="1" applyBorder="1" applyAlignment="1">
      <alignment horizontal="justify" vertical="center" wrapText="1"/>
    </xf>
    <xf numFmtId="0" fontId="151" fillId="4" borderId="4" xfId="5" applyFont="1" applyFill="1" applyBorder="1" applyAlignment="1" applyProtection="1">
      <alignment horizontal="center" vertical="center" wrapText="1"/>
      <protection hidden="1"/>
    </xf>
    <xf numFmtId="0" fontId="53" fillId="15" borderId="4" xfId="5" applyFont="1" applyFill="1" applyBorder="1" applyAlignment="1">
      <alignment horizontal="center" vertical="center" wrapText="1"/>
    </xf>
    <xf numFmtId="0" fontId="9" fillId="15" borderId="4" xfId="5" applyFont="1" applyFill="1" applyBorder="1" applyAlignment="1">
      <alignment horizontal="center" vertical="center" wrapText="1"/>
    </xf>
    <xf numFmtId="0" fontId="14" fillId="15" borderId="4" xfId="0" applyFont="1" applyFill="1" applyBorder="1" applyAlignment="1">
      <alignment vertical="center"/>
    </xf>
    <xf numFmtId="0" fontId="65" fillId="15" borderId="4" xfId="5" applyFont="1" applyFill="1" applyBorder="1" applyAlignment="1">
      <alignment horizontal="center" vertical="center" textRotation="90" wrapText="1"/>
    </xf>
    <xf numFmtId="0" fontId="27" fillId="4" borderId="4" xfId="5" applyFont="1" applyFill="1" applyBorder="1" applyAlignment="1" applyProtection="1">
      <alignment horizontal="center" vertical="center" wrapText="1"/>
      <protection locked="0"/>
    </xf>
    <xf numFmtId="0" fontId="152" fillId="4" borderId="4" xfId="5" applyFont="1" applyFill="1" applyBorder="1" applyAlignment="1" applyProtection="1">
      <alignment horizontal="justify" vertical="center" wrapText="1"/>
      <protection locked="0"/>
    </xf>
    <xf numFmtId="0" fontId="151" fillId="15" borderId="4" xfId="5" applyFont="1" applyFill="1" applyBorder="1" applyAlignment="1" applyProtection="1">
      <alignment horizontal="justify" vertical="center" wrapText="1"/>
      <protection locked="0"/>
    </xf>
    <xf numFmtId="0" fontId="152" fillId="4" borderId="4" xfId="5" applyFont="1" applyFill="1" applyBorder="1" applyAlignment="1" applyProtection="1">
      <alignment horizontal="center" vertical="center" wrapText="1"/>
      <protection locked="0"/>
    </xf>
    <xf numFmtId="0" fontId="9"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center" vertical="center" wrapText="1"/>
      <protection locked="0"/>
    </xf>
    <xf numFmtId="0" fontId="151" fillId="4" borderId="4" xfId="5" applyFont="1" applyFill="1" applyBorder="1" applyAlignment="1" applyProtection="1">
      <alignment horizontal="justify" vertical="center" wrapText="1"/>
      <protection locked="0"/>
    </xf>
    <xf numFmtId="0" fontId="53" fillId="4" borderId="4" xfId="5" applyFont="1" applyFill="1" applyBorder="1" applyAlignment="1" applyProtection="1">
      <alignment horizontal="justify" vertical="center" wrapText="1"/>
      <protection hidden="1"/>
    </xf>
    <xf numFmtId="0" fontId="53" fillId="4" borderId="20" xfId="5" applyFont="1" applyFill="1" applyBorder="1" applyAlignment="1" applyProtection="1">
      <alignment horizontal="center" vertical="center" wrapText="1"/>
      <protection hidden="1"/>
    </xf>
    <xf numFmtId="0" fontId="151" fillId="4" borderId="20" xfId="5" applyFont="1" applyFill="1" applyBorder="1" applyAlignment="1" applyProtection="1">
      <alignment horizontal="center" vertical="center" wrapText="1"/>
      <protection hidden="1"/>
    </xf>
    <xf numFmtId="0" fontId="27" fillId="4" borderId="22" xfId="5" applyFont="1" applyFill="1" applyBorder="1" applyAlignment="1" applyProtection="1">
      <alignment horizontal="center" vertical="center" wrapText="1"/>
      <protection hidden="1"/>
    </xf>
    <xf numFmtId="0" fontId="153" fillId="4" borderId="22" xfId="5" applyFont="1" applyFill="1" applyBorder="1" applyAlignment="1" applyProtection="1">
      <alignment horizontal="center" vertical="center" wrapText="1"/>
      <protection hidden="1"/>
    </xf>
    <xf numFmtId="0" fontId="152" fillId="15" borderId="22" xfId="5" applyFont="1" applyFill="1" applyBorder="1" applyAlignment="1">
      <alignment horizontal="justify" vertical="center" wrapText="1"/>
    </xf>
    <xf numFmtId="0" fontId="152" fillId="4" borderId="22" xfId="5" applyFont="1" applyFill="1" applyBorder="1" applyAlignment="1" applyProtection="1">
      <alignment horizontal="center" vertical="center" wrapText="1"/>
      <protection hidden="1"/>
    </xf>
    <xf numFmtId="0" fontId="9" fillId="4" borderId="22" xfId="5" applyFont="1" applyFill="1" applyBorder="1" applyAlignment="1" applyProtection="1">
      <alignment horizontal="justify" vertical="center" wrapText="1"/>
      <protection hidden="1"/>
    </xf>
    <xf numFmtId="0" fontId="9" fillId="4" borderId="22" xfId="5" applyFont="1" applyFill="1" applyBorder="1" applyAlignment="1" applyProtection="1">
      <alignment horizontal="center" vertical="center" wrapText="1"/>
      <protection hidden="1"/>
    </xf>
    <xf numFmtId="0" fontId="152" fillId="4" borderId="22" xfId="5" applyFont="1" applyFill="1" applyBorder="1" applyAlignment="1" applyProtection="1">
      <alignment horizontal="justify" vertical="center" wrapText="1"/>
      <protection hidden="1"/>
    </xf>
    <xf numFmtId="10" fontId="28" fillId="15" borderId="23" xfId="5" applyNumberFormat="1" applyFont="1" applyFill="1" applyBorder="1" applyAlignment="1" applyProtection="1">
      <alignment horizontal="center" vertical="center"/>
      <protection locked="0"/>
    </xf>
    <xf numFmtId="0" fontId="53" fillId="4" borderId="11" xfId="5" applyFont="1" applyFill="1" applyBorder="1" applyAlignment="1" applyProtection="1">
      <alignment horizontal="center" vertical="center" wrapText="1"/>
      <protection hidden="1"/>
    </xf>
    <xf numFmtId="9" fontId="110" fillId="15" borderId="12" xfId="5" applyNumberFormat="1" applyFont="1" applyFill="1" applyBorder="1" applyAlignment="1" applyProtection="1">
      <alignment horizontal="center" vertical="center"/>
      <protection locked="0"/>
    </xf>
    <xf numFmtId="9" fontId="110" fillId="15" borderId="17" xfId="5" applyNumberFormat="1" applyFont="1" applyFill="1" applyBorder="1" applyAlignment="1" applyProtection="1">
      <alignment horizontal="center" vertical="center"/>
      <protection locked="0"/>
    </xf>
    <xf numFmtId="0" fontId="53" fillId="4" borderId="22" xfId="5" applyFont="1" applyFill="1" applyBorder="1" applyAlignment="1" applyProtection="1">
      <alignment horizontal="center" vertical="center" wrapText="1"/>
      <protection hidden="1"/>
    </xf>
    <xf numFmtId="9" fontId="110" fillId="15" borderId="23" xfId="5" applyNumberFormat="1" applyFont="1" applyFill="1" applyBorder="1" applyAlignment="1" applyProtection="1">
      <alignment horizontal="center" vertical="center"/>
      <protection locked="0"/>
    </xf>
    <xf numFmtId="0" fontId="53" fillId="13" borderId="0" xfId="5" applyFont="1" applyFill="1" applyAlignment="1" applyProtection="1">
      <alignment vertical="center" wrapText="1"/>
      <protection hidden="1"/>
    </xf>
    <xf numFmtId="0" fontId="94" fillId="0" borderId="0" xfId="0" applyFont="1" applyAlignment="1">
      <alignment vertical="center"/>
    </xf>
    <xf numFmtId="0" fontId="0" fillId="0" borderId="102" xfId="0" applyBorder="1" applyAlignment="1" applyProtection="1">
      <alignment vertical="center"/>
      <protection hidden="1"/>
    </xf>
    <xf numFmtId="0" fontId="0" fillId="0" borderId="26" xfId="0" applyBorder="1" applyAlignment="1" applyProtection="1">
      <alignment vertical="center"/>
      <protection hidden="1"/>
    </xf>
    <xf numFmtId="0" fontId="14" fillId="0" borderId="102" xfId="0" applyFont="1" applyBorder="1" applyAlignment="1" applyProtection="1">
      <alignment horizontal="justify" vertical="center"/>
      <protection hidden="1"/>
    </xf>
    <xf numFmtId="0" fontId="154" fillId="0" borderId="102" xfId="0" applyFont="1" applyBorder="1" applyAlignment="1" applyProtection="1">
      <alignment horizontal="left" vertical="center"/>
      <protection hidden="1"/>
    </xf>
    <xf numFmtId="0" fontId="14" fillId="0" borderId="0" xfId="0" applyFont="1" applyAlignment="1">
      <alignment horizontal="justify" vertical="center"/>
    </xf>
    <xf numFmtId="0" fontId="25" fillId="0" borderId="0" xfId="0" applyFont="1" applyAlignment="1">
      <alignment horizontal="justify" vertical="center"/>
    </xf>
    <xf numFmtId="0" fontId="22" fillId="0" borderId="0" xfId="0" applyFont="1" applyAlignment="1" applyProtection="1">
      <alignment vertical="center"/>
      <protection hidden="1"/>
    </xf>
    <xf numFmtId="0" fontId="14" fillId="0" borderId="0" xfId="0" applyFont="1" applyAlignment="1">
      <alignment horizontal="left" vertical="center"/>
    </xf>
    <xf numFmtId="0" fontId="14" fillId="0" borderId="0" xfId="0" applyFont="1" applyAlignment="1">
      <alignment horizontal="center" vertical="center"/>
    </xf>
    <xf numFmtId="0" fontId="25" fillId="0" borderId="0" xfId="0" applyFont="1" applyAlignment="1" applyProtection="1">
      <alignment horizontal="right" vertical="center"/>
      <protection locked="0"/>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protection locked="0"/>
    </xf>
    <xf numFmtId="0" fontId="14" fillId="0" borderId="0" xfId="0" applyFont="1" applyAlignment="1" applyProtection="1">
      <alignment horizontal="center" vertical="center"/>
      <protection locked="0"/>
    </xf>
    <xf numFmtId="0" fontId="14" fillId="13" borderId="0" xfId="0" applyFont="1" applyFill="1" applyAlignment="1" applyProtection="1">
      <alignment vertical="center"/>
      <protection hidden="1"/>
    </xf>
    <xf numFmtId="0" fontId="25" fillId="13" borderId="0" xfId="0" applyFont="1" applyFill="1" applyAlignment="1" applyProtection="1">
      <alignment vertical="center"/>
      <protection hidden="1"/>
    </xf>
    <xf numFmtId="0" fontId="14" fillId="13" borderId="0" xfId="0" applyFont="1" applyFill="1" applyAlignment="1" applyProtection="1">
      <alignment horizontal="left" vertical="center"/>
      <protection locked="0"/>
    </xf>
    <xf numFmtId="0" fontId="35" fillId="13" borderId="0" xfId="0" applyFont="1" applyFill="1" applyAlignment="1" applyProtection="1">
      <alignment horizontal="left" vertical="center"/>
      <protection locked="0"/>
    </xf>
    <xf numFmtId="0" fontId="9" fillId="13" borderId="0" xfId="0" applyFont="1" applyFill="1" applyAlignment="1" applyProtection="1">
      <alignment vertical="center"/>
      <protection hidden="1"/>
    </xf>
    <xf numFmtId="0" fontId="14" fillId="0" borderId="0" xfId="0" applyFont="1" applyAlignment="1" applyProtection="1">
      <alignment horizontal="left" vertical="center"/>
      <protection locked="0"/>
    </xf>
    <xf numFmtId="0" fontId="159" fillId="0" borderId="0" xfId="0" applyFont="1" applyAlignment="1" applyProtection="1">
      <alignment horizontal="center" vertical="center"/>
      <protection hidden="1"/>
    </xf>
    <xf numFmtId="0" fontId="73" fillId="0" borderId="102" xfId="5" applyFont="1" applyBorder="1" applyAlignment="1">
      <alignment vertical="center" textRotation="255" wrapText="1"/>
    </xf>
    <xf numFmtId="43" fontId="14" fillId="0" borderId="0" xfId="18" applyFont="1" applyAlignment="1">
      <alignment vertical="center"/>
    </xf>
    <xf numFmtId="0" fontId="133" fillId="0" borderId="0" xfId="5" applyFont="1" applyAlignment="1">
      <alignment vertical="center" textRotation="255" wrapText="1"/>
    </xf>
    <xf numFmtId="0" fontId="117" fillId="0" borderId="0" xfId="5" applyFont="1" applyAlignment="1">
      <alignment horizontal="center" vertical="center" wrapText="1"/>
    </xf>
    <xf numFmtId="0" fontId="151" fillId="0" borderId="0" xfId="5" applyFont="1" applyAlignment="1">
      <alignment horizontal="justify" vertical="center" wrapText="1"/>
    </xf>
    <xf numFmtId="10" fontId="151" fillId="0" borderId="0" xfId="2" applyNumberFormat="1" applyFont="1" applyFill="1" applyBorder="1" applyAlignment="1">
      <alignment horizontal="center" vertical="center" wrapText="1"/>
    </xf>
    <xf numFmtId="0" fontId="151" fillId="0" borderId="0" xfId="5" applyFont="1" applyAlignment="1">
      <alignment horizontal="center" vertical="center" wrapText="1"/>
    </xf>
    <xf numFmtId="0" fontId="53" fillId="0" borderId="0" xfId="5" applyFont="1" applyAlignment="1">
      <alignment horizontal="justify" vertical="center" wrapText="1"/>
    </xf>
    <xf numFmtId="0" fontId="53" fillId="0" borderId="0" xfId="5" applyFont="1" applyAlignment="1">
      <alignment horizontal="center" vertical="center" wrapText="1"/>
    </xf>
    <xf numFmtId="0" fontId="20" fillId="0" borderId="0" xfId="0" applyFont="1" applyAlignment="1">
      <alignment horizontal="center" vertical="center" wrapText="1"/>
    </xf>
    <xf numFmtId="10" fontId="117" fillId="0" borderId="0" xfId="5" applyNumberFormat="1" applyFont="1" applyAlignment="1">
      <alignment horizontal="center" vertical="center"/>
    </xf>
    <xf numFmtId="0" fontId="133" fillId="0" borderId="99" xfId="5" applyFont="1" applyBorder="1" applyAlignment="1">
      <alignment vertical="center" textRotation="255" wrapText="1"/>
    </xf>
    <xf numFmtId="0" fontId="53" fillId="0" borderId="100" xfId="5" applyFont="1" applyBorder="1" applyAlignment="1">
      <alignment horizontal="justify" vertical="center" wrapText="1"/>
    </xf>
    <xf numFmtId="0" fontId="53" fillId="0" borderId="100" xfId="5" applyFont="1" applyBorder="1" applyAlignment="1">
      <alignment horizontal="center" vertical="center" wrapText="1"/>
    </xf>
    <xf numFmtId="0" fontId="20" fillId="0" borderId="100" xfId="0" applyFont="1" applyBorder="1" applyAlignment="1">
      <alignment horizontal="center" vertical="center" wrapText="1"/>
    </xf>
    <xf numFmtId="0" fontId="151" fillId="0" borderId="100" xfId="5" applyFont="1" applyBorder="1" applyAlignment="1">
      <alignment horizontal="justify" vertical="center" wrapText="1"/>
    </xf>
    <xf numFmtId="10" fontId="117" fillId="0" borderId="100" xfId="5" applyNumberFormat="1" applyFont="1" applyBorder="1" applyAlignment="1">
      <alignment horizontal="center" vertical="center"/>
    </xf>
    <xf numFmtId="0" fontId="14" fillId="0" borderId="100" xfId="0" applyFont="1" applyBorder="1" applyAlignment="1">
      <alignment vertical="center"/>
    </xf>
    <xf numFmtId="0" fontId="14" fillId="0" borderId="101" xfId="0" applyFont="1" applyBorder="1" applyAlignment="1">
      <alignment vertical="center"/>
    </xf>
    <xf numFmtId="0" fontId="25" fillId="0" borderId="102" xfId="0" applyFont="1" applyBorder="1" applyAlignment="1" applyProtection="1">
      <alignment horizontal="left" vertical="center"/>
      <protection hidden="1"/>
    </xf>
    <xf numFmtId="0" fontId="117" fillId="0" borderId="0" xfId="5" applyFont="1" applyAlignment="1">
      <alignment horizontal="justify" vertical="center" wrapText="1"/>
    </xf>
    <xf numFmtId="0" fontId="65" fillId="0" borderId="0" xfId="5" applyFont="1" applyAlignment="1">
      <alignment horizontal="center" vertical="center" textRotation="90" wrapText="1"/>
    </xf>
    <xf numFmtId="10" fontId="110" fillId="0" borderId="0" xfId="5" applyNumberFormat="1" applyFont="1" applyAlignment="1">
      <alignment horizontal="center" vertical="center"/>
    </xf>
    <xf numFmtId="0" fontId="14" fillId="0" borderId="26" xfId="0" applyFont="1" applyBorder="1" applyAlignment="1">
      <alignment vertical="center"/>
    </xf>
    <xf numFmtId="0" fontId="14" fillId="0" borderId="102" xfId="0" applyFont="1" applyBorder="1" applyAlignment="1">
      <alignment vertical="center"/>
    </xf>
    <xf numFmtId="0" fontId="51" fillId="64" borderId="131" xfId="0" applyFont="1" applyFill="1" applyBorder="1" applyAlignment="1">
      <alignment horizontal="center" vertical="center" wrapText="1"/>
    </xf>
    <xf numFmtId="0" fontId="51" fillId="64" borderId="7" xfId="0" applyFont="1" applyFill="1" applyBorder="1" applyAlignment="1">
      <alignment horizontal="center" vertical="center" wrapText="1"/>
    </xf>
    <xf numFmtId="0" fontId="51" fillId="64" borderId="8" xfId="0" applyFont="1" applyFill="1" applyBorder="1" applyAlignment="1">
      <alignment horizontal="center" vertical="center" wrapText="1"/>
    </xf>
    <xf numFmtId="0" fontId="51" fillId="64" borderId="101" xfId="0" applyFont="1" applyFill="1" applyBorder="1" applyAlignment="1">
      <alignment horizontal="center" vertical="center" wrapText="1"/>
    </xf>
    <xf numFmtId="164" fontId="25" fillId="20" borderId="40" xfId="14" applyFont="1" applyFill="1" applyBorder="1" applyAlignment="1" applyProtection="1">
      <alignment vertical="center"/>
      <protection hidden="1"/>
    </xf>
    <xf numFmtId="0" fontId="25" fillId="0" borderId="0" xfId="0" applyFont="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164" fontId="14" fillId="15" borderId="4" xfId="14" applyFont="1" applyFill="1" applyBorder="1" applyAlignment="1" applyProtection="1">
      <alignment vertical="center"/>
      <protection hidden="1"/>
    </xf>
    <xf numFmtId="182" fontId="14" fillId="16" borderId="4" xfId="2" applyNumberFormat="1" applyFont="1" applyFill="1" applyBorder="1" applyAlignment="1" applyProtection="1">
      <alignment horizontal="center" vertical="center"/>
      <protection hidden="1"/>
    </xf>
    <xf numFmtId="0" fontId="162" fillId="64" borderId="4" xfId="0" applyFont="1" applyFill="1" applyBorder="1" applyAlignment="1" applyProtection="1">
      <alignment horizontal="center" vertical="center" wrapText="1"/>
      <protection hidden="1"/>
    </xf>
    <xf numFmtId="0" fontId="25" fillId="0" borderId="0" xfId="0" applyFont="1" applyAlignment="1">
      <alignment vertical="center"/>
    </xf>
    <xf numFmtId="2" fontId="14" fillId="13" borderId="0" xfId="27" applyNumberFormat="1" applyFont="1" applyFill="1" applyBorder="1" applyAlignment="1" applyProtection="1">
      <alignment vertical="center"/>
      <protection hidden="1"/>
    </xf>
    <xf numFmtId="0" fontId="25" fillId="0" borderId="0" xfId="0" applyFont="1" applyAlignment="1" applyProtection="1">
      <alignment vertical="center"/>
      <protection hidden="1"/>
    </xf>
    <xf numFmtId="0" fontId="14" fillId="0" borderId="0" xfId="0" applyFont="1" applyAlignment="1" applyProtection="1">
      <alignment horizontal="right" vertical="center"/>
      <protection hidden="1"/>
    </xf>
    <xf numFmtId="0" fontId="14" fillId="13" borderId="0" xfId="0" applyFont="1" applyFill="1" applyAlignment="1" applyProtection="1">
      <alignment vertical="center" wrapText="1"/>
      <protection hidden="1"/>
    </xf>
    <xf numFmtId="0" fontId="25" fillId="0" borderId="0" xfId="0" applyFont="1"/>
    <xf numFmtId="0" fontId="58" fillId="27" borderId="89" xfId="0" applyFont="1" applyFill="1" applyBorder="1" applyAlignment="1">
      <alignment horizontal="center" wrapText="1"/>
    </xf>
    <xf numFmtId="0" fontId="58" fillId="27" borderId="42" xfId="0" applyFont="1" applyFill="1" applyBorder="1" applyAlignment="1">
      <alignment horizontal="center" wrapText="1"/>
    </xf>
    <xf numFmtId="0" fontId="25" fillId="30" borderId="4" xfId="0" applyFont="1" applyFill="1" applyBorder="1" applyAlignment="1">
      <alignment horizontal="center" vertical="center" wrapText="1"/>
    </xf>
    <xf numFmtId="0" fontId="14" fillId="64" borderId="0" xfId="0" applyFont="1" applyFill="1" applyAlignment="1">
      <alignment horizontal="center" vertical="center"/>
    </xf>
    <xf numFmtId="0" fontId="13" fillId="13" borderId="0" xfId="0" applyFont="1" applyFill="1" applyAlignment="1" applyProtection="1">
      <alignment vertical="top" wrapText="1"/>
      <protection hidden="1"/>
    </xf>
    <xf numFmtId="0" fontId="27" fillId="13" borderId="0" xfId="0" applyFont="1" applyFill="1" applyAlignment="1" applyProtection="1">
      <alignment vertical="top" wrapText="1"/>
      <protection hidden="1"/>
    </xf>
    <xf numFmtId="0" fontId="0" fillId="28" borderId="89" xfId="0" applyFill="1" applyBorder="1"/>
    <xf numFmtId="9" fontId="0" fillId="28" borderId="42" xfId="0" applyNumberFormat="1" applyFill="1" applyBorder="1" applyAlignment="1">
      <alignment horizontal="center"/>
    </xf>
    <xf numFmtId="9" fontId="14" fillId="0" borderId="0" xfId="0" applyNumberFormat="1" applyFont="1" applyAlignment="1">
      <alignment horizontal="center"/>
    </xf>
    <xf numFmtId="0" fontId="0" fillId="28" borderId="42" xfId="0" applyFill="1" applyBorder="1"/>
    <xf numFmtId="0" fontId="47" fillId="30" borderId="14" xfId="0" applyFont="1" applyFill="1" applyBorder="1" applyAlignment="1" applyProtection="1">
      <alignment vertical="center" wrapText="1"/>
      <protection locked="0" hidden="1"/>
    </xf>
    <xf numFmtId="0" fontId="35" fillId="0" borderId="4" xfId="0" applyFont="1" applyBorder="1" applyAlignment="1" applyProtection="1">
      <alignment horizontal="left" vertical="center" wrapText="1"/>
      <protection hidden="1"/>
    </xf>
    <xf numFmtId="0" fontId="47" fillId="30" borderId="14" xfId="0" applyFont="1" applyFill="1" applyBorder="1" applyAlignment="1">
      <alignment vertical="center" wrapText="1"/>
    </xf>
    <xf numFmtId="0" fontId="47" fillId="0" borderId="14" xfId="0" applyFont="1" applyBorder="1" applyAlignment="1">
      <alignment vertical="center" wrapText="1"/>
    </xf>
    <xf numFmtId="0" fontId="47" fillId="15" borderId="14" xfId="0" applyFont="1" applyFill="1" applyBorder="1" applyAlignment="1">
      <alignment vertical="center" wrapText="1"/>
    </xf>
    <xf numFmtId="9" fontId="0" fillId="0" borderId="0" xfId="2" applyFont="1" applyAlignment="1">
      <alignment horizontal="center" vertical="center"/>
    </xf>
    <xf numFmtId="0" fontId="59" fillId="0" borderId="0" xfId="0" applyFont="1"/>
    <xf numFmtId="0" fontId="14" fillId="15" borderId="0" xfId="0" applyFont="1" applyFill="1" applyAlignment="1">
      <alignment horizontal="center" vertical="center" wrapText="1"/>
    </xf>
    <xf numFmtId="0" fontId="30" fillId="0" borderId="4" xfId="0" applyFont="1" applyBorder="1" applyAlignment="1">
      <alignment horizontal="left" vertical="center" wrapText="1"/>
    </xf>
    <xf numFmtId="0" fontId="59" fillId="0" borderId="0" xfId="0" applyFont="1" applyAlignment="1">
      <alignment horizontal="left"/>
    </xf>
    <xf numFmtId="0" fontId="0" fillId="0" borderId="0" xfId="0" applyAlignment="1">
      <alignment horizontal="left"/>
    </xf>
    <xf numFmtId="0" fontId="14" fillId="0" borderId="0" xfId="0" applyFont="1" applyAlignment="1">
      <alignment horizontal="center"/>
    </xf>
    <xf numFmtId="0" fontId="0" fillId="0" borderId="42" xfId="0" applyBorder="1"/>
    <xf numFmtId="0" fontId="47" fillId="30" borderId="4" xfId="0" applyFont="1" applyFill="1" applyBorder="1" applyAlignment="1">
      <alignment vertical="center" wrapText="1"/>
    </xf>
    <xf numFmtId="9" fontId="0" fillId="0" borderId="42" xfId="0" applyNumberFormat="1" applyBorder="1" applyAlignment="1">
      <alignment horizontal="center"/>
    </xf>
    <xf numFmtId="0" fontId="59" fillId="5" borderId="0" xfId="0" applyFont="1" applyFill="1" applyAlignment="1">
      <alignment horizontal="left"/>
    </xf>
    <xf numFmtId="0" fontId="0" fillId="0" borderId="89" xfId="0" applyBorder="1"/>
    <xf numFmtId="0" fontId="47" fillId="30" borderId="0" xfId="0" applyFont="1" applyFill="1" applyAlignment="1">
      <alignment vertical="center" wrapText="1"/>
    </xf>
    <xf numFmtId="0" fontId="47" fillId="30" borderId="14" xfId="0" applyFont="1" applyFill="1" applyBorder="1" applyAlignment="1" applyProtection="1">
      <alignment vertical="center" wrapText="1"/>
      <protection locked="0"/>
    </xf>
    <xf numFmtId="0" fontId="0" fillId="5" borderId="0" xfId="0" applyFill="1"/>
    <xf numFmtId="0" fontId="0" fillId="5" borderId="0" xfId="0" applyFill="1" applyAlignment="1">
      <alignment horizontal="left"/>
    </xf>
    <xf numFmtId="0" fontId="47" fillId="0" borderId="14" xfId="0" applyFont="1" applyBorder="1" applyAlignment="1" applyProtection="1">
      <alignment vertical="center" wrapText="1"/>
      <protection locked="0"/>
    </xf>
    <xf numFmtId="0" fontId="47" fillId="0" borderId="0" xfId="0" applyFont="1" applyAlignment="1">
      <alignment wrapText="1"/>
    </xf>
    <xf numFmtId="0" fontId="47" fillId="0" borderId="0" xfId="0" applyFont="1"/>
    <xf numFmtId="0" fontId="47" fillId="0" borderId="0" xfId="0" applyFont="1" applyAlignment="1">
      <alignment horizontal="left" vertical="center"/>
    </xf>
    <xf numFmtId="0" fontId="59" fillId="0" borderId="4" xfId="0" applyFont="1" applyBorder="1" applyAlignment="1">
      <alignment vertical="center" wrapText="1"/>
    </xf>
    <xf numFmtId="175" fontId="0" fillId="0" borderId="9" xfId="26" applyNumberFormat="1" applyFont="1" applyBorder="1" applyAlignment="1" applyProtection="1">
      <alignment vertical="center" wrapText="1"/>
      <protection locked="0"/>
    </xf>
    <xf numFmtId="0" fontId="14" fillId="0" borderId="4" xfId="0" applyFont="1" applyBorder="1" applyAlignment="1">
      <alignment vertical="center" wrapText="1"/>
    </xf>
    <xf numFmtId="10" fontId="0" fillId="0" borderId="4" xfId="0" applyNumberFormat="1" applyBorder="1" applyAlignment="1">
      <alignment vertical="center" wrapText="1"/>
    </xf>
    <xf numFmtId="0" fontId="14" fillId="0" borderId="0" xfId="0" applyFont="1" applyAlignment="1">
      <alignment vertical="center" wrapText="1"/>
    </xf>
    <xf numFmtId="175" fontId="0" fillId="0" borderId="4" xfId="26" applyNumberFormat="1" applyFont="1" applyBorder="1" applyAlignment="1" applyProtection="1">
      <alignment vertical="center" wrapText="1"/>
      <protection locked="0"/>
    </xf>
    <xf numFmtId="175" fontId="0" fillId="0" borderId="0" xfId="26" applyNumberFormat="1" applyFont="1" applyBorder="1" applyAlignment="1" applyProtection="1">
      <alignment vertical="center" wrapText="1"/>
      <protection locked="0"/>
    </xf>
    <xf numFmtId="0" fontId="22" fillId="0" borderId="0" xfId="5" applyFont="1" applyAlignment="1" applyProtection="1">
      <alignment vertical="center"/>
      <protection locked="0"/>
    </xf>
    <xf numFmtId="0" fontId="25" fillId="0" borderId="0" xfId="0" applyFont="1" applyAlignment="1" applyProtection="1">
      <alignment horizontal="left" vertical="center" wrapText="1"/>
      <protection hidden="1"/>
    </xf>
    <xf numFmtId="0" fontId="14" fillId="0" borderId="13" xfId="0" applyFont="1" applyBorder="1"/>
    <xf numFmtId="0" fontId="66" fillId="0" borderId="13" xfId="0" applyFont="1" applyBorder="1"/>
    <xf numFmtId="9" fontId="66" fillId="0" borderId="0" xfId="2" applyFont="1"/>
    <xf numFmtId="0" fontId="110" fillId="14" borderId="4" xfId="34" applyFont="1" applyFill="1" applyBorder="1" applyAlignment="1" applyProtection="1">
      <alignment horizontal="center" vertical="center"/>
      <protection hidden="1"/>
    </xf>
    <xf numFmtId="10" fontId="110" fillId="14" borderId="22" xfId="34" applyNumberFormat="1" applyFont="1" applyFill="1" applyBorder="1" applyAlignment="1" applyProtection="1">
      <alignment horizontal="center" vertical="center"/>
      <protection hidden="1"/>
    </xf>
    <xf numFmtId="10" fontId="110" fillId="14" borderId="143" xfId="34" applyNumberFormat="1" applyFont="1" applyFill="1" applyBorder="1" applyAlignment="1" applyProtection="1">
      <alignment horizontal="center" vertical="center"/>
      <protection hidden="1"/>
    </xf>
    <xf numFmtId="10" fontId="66" fillId="0" borderId="0" xfId="2" applyNumberFormat="1" applyFont="1"/>
    <xf numFmtId="9" fontId="28" fillId="15" borderId="22" xfId="7" applyFont="1" applyFill="1" applyBorder="1" applyAlignment="1" applyProtection="1">
      <alignment horizontal="center" vertical="center" wrapText="1"/>
      <protection hidden="1"/>
    </xf>
    <xf numFmtId="10" fontId="164" fillId="0" borderId="0" xfId="2" applyNumberFormat="1" applyFont="1"/>
    <xf numFmtId="0" fontId="7" fillId="0" borderId="0" xfId="20" applyFill="1" applyBorder="1" applyAlignment="1">
      <alignment horizontal="center" vertical="center"/>
    </xf>
    <xf numFmtId="9" fontId="66" fillId="0" borderId="0" xfId="2" applyFont="1" applyFill="1"/>
    <xf numFmtId="0" fontId="57" fillId="0" borderId="0" xfId="35" applyFont="1" applyFill="1" applyBorder="1" applyAlignment="1">
      <alignment horizontal="center" vertical="center"/>
    </xf>
    <xf numFmtId="170" fontId="28" fillId="10" borderId="143" xfId="24" applyNumberFormat="1" applyFont="1" applyFill="1" applyBorder="1" applyAlignment="1" applyProtection="1">
      <alignment horizontal="center" vertical="center"/>
      <protection hidden="1"/>
    </xf>
    <xf numFmtId="0" fontId="110" fillId="0" borderId="102" xfId="5" applyFont="1" applyBorder="1" applyAlignment="1" applyProtection="1">
      <alignment horizontal="center" vertical="center" wrapText="1"/>
      <protection hidden="1"/>
    </xf>
    <xf numFmtId="0" fontId="110" fillId="0" borderId="0" xfId="5" applyFont="1" applyAlignment="1" applyProtection="1">
      <alignment horizontal="center" vertical="center" wrapText="1"/>
      <protection hidden="1"/>
    </xf>
    <xf numFmtId="9" fontId="110" fillId="0" borderId="46" xfId="5" applyNumberFormat="1" applyFont="1" applyBorder="1" applyAlignment="1" applyProtection="1">
      <alignment horizontal="center" vertical="center" wrapText="1"/>
      <protection hidden="1"/>
    </xf>
    <xf numFmtId="0" fontId="134" fillId="0" borderId="0" xfId="5" applyFont="1" applyAlignment="1" applyProtection="1">
      <alignment horizontal="center" vertical="center" wrapText="1"/>
      <protection hidden="1"/>
    </xf>
    <xf numFmtId="167" fontId="43" fillId="0" borderId="0" xfId="24" applyNumberFormat="1" applyFont="1" applyFill="1" applyBorder="1" applyAlignment="1" applyProtection="1">
      <alignment horizontal="center" vertical="center"/>
      <protection hidden="1"/>
    </xf>
    <xf numFmtId="170" fontId="27" fillId="0" borderId="0" xfId="7" applyNumberFormat="1" applyFont="1" applyFill="1" applyBorder="1" applyAlignment="1" applyProtection="1">
      <alignment horizontal="center" vertical="center"/>
      <protection hidden="1"/>
    </xf>
    <xf numFmtId="170" fontId="115" fillId="0" borderId="0" xfId="5" applyNumberFormat="1" applyFont="1" applyAlignment="1" applyProtection="1">
      <alignment horizontal="center" vertical="center"/>
      <protection hidden="1"/>
    </xf>
    <xf numFmtId="0" fontId="51" fillId="0" borderId="0" xfId="5" applyFont="1" applyAlignment="1" applyProtection="1">
      <alignment horizontal="center" vertical="center"/>
      <protection hidden="1"/>
    </xf>
    <xf numFmtId="170" fontId="28" fillId="10" borderId="23" xfId="24" applyNumberFormat="1" applyFont="1" applyFill="1" applyBorder="1" applyAlignment="1" applyProtection="1">
      <alignment horizontal="center" vertical="center" wrapText="1"/>
      <protection hidden="1"/>
    </xf>
    <xf numFmtId="0" fontId="110" fillId="59" borderId="102" xfId="5" applyFont="1" applyFill="1" applyBorder="1" applyAlignment="1" applyProtection="1">
      <alignment horizontal="center" vertical="center" wrapText="1"/>
      <protection hidden="1"/>
    </xf>
    <xf numFmtId="170" fontId="28" fillId="5" borderId="12" xfId="7" applyNumberFormat="1" applyFont="1" applyFill="1" applyBorder="1" applyAlignment="1" applyProtection="1">
      <alignment horizontal="center" vertical="center"/>
      <protection locked="0"/>
    </xf>
    <xf numFmtId="170" fontId="28" fillId="10" borderId="23" xfId="24" applyNumberFormat="1" applyFont="1" applyFill="1" applyBorder="1" applyAlignment="1" applyProtection="1">
      <alignment horizontal="center" vertical="center"/>
      <protection hidden="1"/>
    </xf>
    <xf numFmtId="0" fontId="14" fillId="0" borderId="0" xfId="5" applyFont="1" applyAlignment="1" applyProtection="1">
      <alignment horizontal="center" vertical="center"/>
      <protection hidden="1"/>
    </xf>
    <xf numFmtId="0" fontId="165" fillId="0" borderId="0" xfId="5" applyFont="1" applyProtection="1">
      <protection locked="0"/>
    </xf>
    <xf numFmtId="0" fontId="166" fillId="0" borderId="0" xfId="5" applyFont="1" applyAlignment="1">
      <alignment horizontal="left" vertical="center" wrapText="1"/>
    </xf>
    <xf numFmtId="0" fontId="20" fillId="0" borderId="0" xfId="5" applyFont="1" applyProtection="1">
      <protection locked="0"/>
    </xf>
    <xf numFmtId="0" fontId="20" fillId="0" borderId="0" xfId="5" applyFont="1" applyAlignment="1" applyProtection="1">
      <alignment horizontal="center"/>
      <protection locked="0"/>
    </xf>
    <xf numFmtId="10" fontId="20" fillId="0" borderId="0" xfId="5" applyNumberFormat="1" applyFont="1" applyProtection="1">
      <protection locked="0"/>
    </xf>
    <xf numFmtId="9" fontId="20" fillId="0" borderId="0" xfId="5" applyNumberFormat="1" applyFont="1" applyProtection="1">
      <protection locked="0"/>
    </xf>
    <xf numFmtId="0" fontId="20" fillId="0" borderId="0" xfId="5" applyFont="1" applyAlignment="1" applyProtection="1">
      <alignment vertical="center"/>
      <protection locked="0"/>
    </xf>
    <xf numFmtId="0" fontId="19" fillId="0" borderId="0" xfId="5" applyFont="1" applyAlignment="1" applyProtection="1">
      <alignment horizontal="center"/>
      <protection locked="0"/>
    </xf>
    <xf numFmtId="10" fontId="165" fillId="0" borderId="0" xfId="5" applyNumberFormat="1" applyFont="1" applyProtection="1">
      <protection locked="0"/>
    </xf>
    <xf numFmtId="9" fontId="165" fillId="0" borderId="0" xfId="5" applyNumberFormat="1" applyFont="1" applyProtection="1">
      <protection locked="0"/>
    </xf>
    <xf numFmtId="0" fontId="47" fillId="0" borderId="0" xfId="5" applyFont="1" applyProtection="1">
      <protection locked="0"/>
    </xf>
    <xf numFmtId="0" fontId="167" fillId="18" borderId="147" xfId="0" applyFont="1" applyFill="1" applyBorder="1" applyAlignment="1">
      <alignment horizontal="left" vertical="center"/>
    </xf>
    <xf numFmtId="0" fontId="167" fillId="0" borderId="148" xfId="0" applyFont="1" applyBorder="1" applyAlignment="1">
      <alignment horizontal="left" vertical="center"/>
    </xf>
    <xf numFmtId="0" fontId="167" fillId="18" borderId="148" xfId="0" applyFont="1" applyFill="1" applyBorder="1" applyAlignment="1">
      <alignment horizontal="left" vertical="center"/>
    </xf>
    <xf numFmtId="0" fontId="19" fillId="0" borderId="0" xfId="0" applyFont="1" applyAlignment="1" applyProtection="1">
      <alignment horizontal="left" vertical="center"/>
      <protection hidden="1"/>
    </xf>
    <xf numFmtId="0" fontId="8" fillId="0" borderId="0" xfId="9"/>
    <xf numFmtId="0" fontId="65" fillId="0" borderId="33" xfId="5" applyFont="1" applyBorder="1" applyAlignment="1">
      <alignment vertical="center" wrapText="1"/>
    </xf>
    <xf numFmtId="0" fontId="28" fillId="36" borderId="4" xfId="5" applyFont="1" applyFill="1" applyBorder="1" applyAlignment="1">
      <alignment horizontal="center" vertical="center" wrapText="1"/>
    </xf>
    <xf numFmtId="0" fontId="117" fillId="53" borderId="4" xfId="5" applyFont="1" applyFill="1" applyBorder="1" applyAlignment="1">
      <alignment horizontal="center" vertical="center" wrapText="1"/>
    </xf>
    <xf numFmtId="9" fontId="117" fillId="68" borderId="4" xfId="7" applyFont="1" applyFill="1" applyBorder="1" applyAlignment="1" applyProtection="1">
      <alignment horizontal="center" vertical="center"/>
    </xf>
    <xf numFmtId="170" fontId="110" fillId="34" borderId="4" xfId="7" applyNumberFormat="1" applyFont="1" applyFill="1" applyBorder="1" applyAlignment="1" applyProtection="1">
      <alignment horizontal="center" vertical="center"/>
    </xf>
    <xf numFmtId="0" fontId="28" fillId="55" borderId="62" xfId="9" applyFont="1" applyFill="1" applyBorder="1" applyAlignment="1" applyProtection="1">
      <alignment horizontal="center" vertical="center" wrapText="1"/>
      <protection hidden="1"/>
    </xf>
    <xf numFmtId="0" fontId="28" fillId="55" borderId="4" xfId="9" applyFont="1" applyFill="1" applyBorder="1" applyAlignment="1" applyProtection="1">
      <alignment horizontal="center" vertical="center" wrapText="1"/>
      <protection hidden="1"/>
    </xf>
    <xf numFmtId="0" fontId="27" fillId="0" borderId="4" xfId="5" applyFont="1" applyBorder="1" applyAlignment="1">
      <alignment horizontal="center" vertical="center" wrapText="1"/>
    </xf>
    <xf numFmtId="1" fontId="29" fillId="16" borderId="62" xfId="6" applyNumberFormat="1" applyFont="1" applyFill="1" applyBorder="1" applyAlignment="1">
      <alignment horizontal="center" vertical="center"/>
    </xf>
    <xf numFmtId="170" fontId="11" fillId="5" borderId="4" xfId="2" applyNumberFormat="1" applyFont="1" applyFill="1" applyBorder="1" applyAlignment="1" applyProtection="1">
      <alignment horizontal="center" vertical="center"/>
      <protection locked="0"/>
    </xf>
    <xf numFmtId="170" fontId="11" fillId="68" borderId="4" xfId="7" applyNumberFormat="1" applyFont="1" applyFill="1" applyBorder="1" applyAlignment="1">
      <alignment horizontal="center" vertical="center"/>
    </xf>
    <xf numFmtId="1" fontId="29" fillId="44" borderId="62" xfId="6" applyNumberFormat="1" applyFont="1" applyFill="1" applyBorder="1" applyAlignment="1">
      <alignment horizontal="center" vertical="center"/>
    </xf>
    <xf numFmtId="0" fontId="110" fillId="69" borderId="4" xfId="9" applyFont="1" applyFill="1" applyBorder="1" applyAlignment="1">
      <alignment horizontal="center" vertical="center"/>
    </xf>
    <xf numFmtId="9" fontId="110" fillId="69" borderId="4" xfId="7" applyFont="1" applyFill="1" applyBorder="1" applyAlignment="1" applyProtection="1">
      <alignment horizontal="center" vertical="center"/>
    </xf>
    <xf numFmtId="170" fontId="110" fillId="69" borderId="4" xfId="9" applyNumberFormat="1" applyFont="1" applyFill="1" applyBorder="1" applyAlignment="1">
      <alignment horizontal="center" vertical="center"/>
    </xf>
    <xf numFmtId="0" fontId="28" fillId="62" borderId="74" xfId="5" applyFont="1" applyFill="1" applyBorder="1" applyAlignment="1">
      <alignment horizontal="center" vertical="center" wrapText="1"/>
    </xf>
    <xf numFmtId="0" fontId="110" fillId="62" borderId="14" xfId="5" applyFont="1" applyFill="1" applyBorder="1" applyAlignment="1">
      <alignment horizontal="center"/>
    </xf>
    <xf numFmtId="0" fontId="110" fillId="62" borderId="0" xfId="5" applyFont="1" applyFill="1" applyAlignment="1">
      <alignment horizontal="center"/>
    </xf>
    <xf numFmtId="170" fontId="110" fillId="0" borderId="0" xfId="7" applyNumberFormat="1" applyFont="1" applyFill="1" applyBorder="1" applyAlignment="1" applyProtection="1">
      <alignment horizontal="center" vertical="center"/>
    </xf>
    <xf numFmtId="0" fontId="28" fillId="62" borderId="62" xfId="5" applyFont="1" applyFill="1" applyBorder="1" applyAlignment="1">
      <alignment horizontal="center" vertical="center" wrapText="1"/>
    </xf>
    <xf numFmtId="0" fontId="110" fillId="62" borderId="4" xfId="5" applyFont="1" applyFill="1" applyBorder="1" applyAlignment="1">
      <alignment horizontal="center"/>
    </xf>
    <xf numFmtId="0" fontId="110" fillId="0" borderId="0" xfId="5" applyFont="1" applyAlignment="1">
      <alignment horizontal="center"/>
    </xf>
    <xf numFmtId="0" fontId="117" fillId="0" borderId="0" xfId="9" applyFont="1"/>
    <xf numFmtId="0" fontId="28" fillId="30" borderId="65" xfId="5" applyFont="1" applyFill="1" applyBorder="1" applyAlignment="1">
      <alignment horizontal="center" vertical="center" wrapText="1"/>
    </xf>
    <xf numFmtId="43" fontId="110" fillId="30" borderId="0" xfId="18" applyFont="1" applyFill="1" applyBorder="1" applyAlignment="1">
      <alignment horizontal="center"/>
    </xf>
    <xf numFmtId="0" fontId="149" fillId="0" borderId="0" xfId="5" applyFont="1" applyAlignment="1">
      <alignment horizontal="center"/>
    </xf>
    <xf numFmtId="0" fontId="53" fillId="53" borderId="0" xfId="5" applyFont="1" applyFill="1" applyProtection="1">
      <protection locked="0"/>
    </xf>
    <xf numFmtId="0" fontId="35" fillId="13" borderId="142" xfId="33" applyFont="1" applyFill="1" applyBorder="1" applyAlignment="1">
      <alignment horizontal="center" vertical="center" wrapText="1"/>
    </xf>
    <xf numFmtId="0" fontId="35" fillId="13" borderId="24" xfId="33" applyFont="1" applyFill="1" applyBorder="1" applyAlignment="1">
      <alignment horizontal="center" vertical="center" wrapText="1"/>
    </xf>
    <xf numFmtId="0" fontId="10" fillId="36" borderId="99" xfId="5" applyFont="1" applyFill="1" applyBorder="1" applyAlignment="1">
      <alignment horizontal="center" vertical="center" wrapText="1"/>
    </xf>
    <xf numFmtId="0" fontId="10" fillId="36" borderId="4" xfId="5" applyFont="1" applyFill="1" applyBorder="1" applyAlignment="1">
      <alignment horizontal="center" vertical="center" wrapText="1"/>
    </xf>
    <xf numFmtId="9" fontId="133" fillId="51" borderId="4" xfId="7" applyFont="1" applyFill="1" applyBorder="1" applyAlignment="1" applyProtection="1">
      <alignment horizontal="center" vertical="center"/>
    </xf>
    <xf numFmtId="0" fontId="5" fillId="20" borderId="4" xfId="5" applyFont="1" applyFill="1" applyBorder="1" applyAlignment="1" applyProtection="1">
      <alignment horizontal="center" vertical="center"/>
      <protection locked="0"/>
    </xf>
    <xf numFmtId="0" fontId="21" fillId="0" borderId="0" xfId="0" applyFont="1" applyAlignment="1" applyProtection="1">
      <alignment horizontal="center" vertical="center"/>
      <protection hidden="1"/>
    </xf>
    <xf numFmtId="0" fontId="14" fillId="0" borderId="0" xfId="0" applyFont="1" applyAlignment="1" applyProtection="1">
      <alignment horizontal="right" vertical="center"/>
      <protection locked="0"/>
    </xf>
    <xf numFmtId="0" fontId="51" fillId="64" borderId="101" xfId="0" applyFont="1" applyFill="1" applyBorder="1" applyAlignment="1" applyProtection="1">
      <alignment vertical="center"/>
      <protection hidden="1"/>
    </xf>
    <xf numFmtId="0" fontId="14" fillId="0" borderId="3" xfId="0" applyFont="1" applyBorder="1" applyAlignment="1" applyProtection="1">
      <alignment horizontal="center" vertical="center"/>
      <protection hidden="1"/>
    </xf>
    <xf numFmtId="0" fontId="51" fillId="64" borderId="22" xfId="0" applyFont="1" applyFill="1" applyBorder="1" applyAlignment="1" applyProtection="1">
      <alignment horizontal="center" vertical="center" wrapText="1"/>
      <protection hidden="1"/>
    </xf>
    <xf numFmtId="0" fontId="35" fillId="0" borderId="16" xfId="0" applyFont="1" applyBorder="1" applyAlignment="1">
      <alignment horizontal="left" vertical="center"/>
    </xf>
    <xf numFmtId="0" fontId="35" fillId="0" borderId="4" xfId="0" applyFont="1" applyBorder="1" applyAlignment="1" applyProtection="1">
      <alignment vertical="center"/>
      <protection hidden="1"/>
    </xf>
    <xf numFmtId="10" fontId="25" fillId="0" borderId="4" xfId="2" applyNumberFormat="1" applyFont="1" applyBorder="1" applyAlignment="1" applyProtection="1">
      <alignment vertical="center"/>
      <protection hidden="1"/>
    </xf>
    <xf numFmtId="43" fontId="25" fillId="13" borderId="4" xfId="0" applyNumberFormat="1" applyFont="1" applyFill="1" applyBorder="1" applyAlignment="1" applyProtection="1">
      <alignment vertical="center"/>
      <protection hidden="1"/>
    </xf>
    <xf numFmtId="0" fontId="25" fillId="0" borderId="4" xfId="0" applyFont="1" applyBorder="1" applyAlignment="1" applyProtection="1">
      <alignment horizontal="center" vertical="center"/>
      <protection hidden="1"/>
    </xf>
    <xf numFmtId="0" fontId="47" fillId="0" borderId="16" xfId="0" applyFont="1" applyBorder="1" applyAlignment="1">
      <alignment horizontal="left" vertical="center"/>
    </xf>
    <xf numFmtId="10" fontId="14" fillId="0" borderId="4" xfId="2" applyNumberFormat="1" applyFont="1" applyBorder="1" applyAlignment="1" applyProtection="1">
      <alignment vertical="center"/>
      <protection hidden="1"/>
    </xf>
    <xf numFmtId="43" fontId="14" fillId="13" borderId="4" xfId="0" applyNumberFormat="1" applyFont="1" applyFill="1" applyBorder="1" applyAlignment="1" applyProtection="1">
      <alignment vertical="center"/>
      <protection hidden="1"/>
    </xf>
    <xf numFmtId="0" fontId="14" fillId="0" borderId="25" xfId="0" applyFont="1" applyBorder="1" applyAlignment="1">
      <alignment vertical="center"/>
    </xf>
    <xf numFmtId="0" fontId="14" fillId="0" borderId="22" xfId="0" applyFont="1" applyBorder="1" applyAlignment="1">
      <alignment vertical="center" wrapText="1"/>
    </xf>
    <xf numFmtId="43" fontId="14" fillId="0" borderId="22" xfId="18" applyFont="1" applyBorder="1" applyAlignment="1" applyProtection="1">
      <alignment vertical="center"/>
      <protection hidden="1"/>
    </xf>
    <xf numFmtId="10" fontId="14" fillId="0" borderId="22" xfId="2" applyNumberFormat="1" applyFont="1" applyBorder="1" applyAlignment="1" applyProtection="1">
      <alignment vertical="center"/>
      <protection hidden="1"/>
    </xf>
    <xf numFmtId="43" fontId="14" fillId="13" borderId="22" xfId="0" applyNumberFormat="1" applyFont="1" applyFill="1" applyBorder="1" applyAlignment="1" applyProtection="1">
      <alignment vertical="center"/>
      <protection hidden="1"/>
    </xf>
    <xf numFmtId="0" fontId="14" fillId="0" borderId="22" xfId="0" applyFont="1" applyBorder="1" applyAlignment="1" applyProtection="1">
      <alignment horizontal="left" vertical="center" wrapText="1"/>
      <protection hidden="1"/>
    </xf>
    <xf numFmtId="10" fontId="25" fillId="0" borderId="11" xfId="2" applyNumberFormat="1" applyFont="1" applyBorder="1" applyAlignment="1" applyProtection="1">
      <alignment vertical="center"/>
      <protection hidden="1"/>
    </xf>
    <xf numFmtId="43" fontId="25" fillId="13" borderId="11" xfId="0" applyNumberFormat="1" applyFont="1" applyFill="1" applyBorder="1" applyAlignment="1" applyProtection="1">
      <alignment vertical="center"/>
      <protection hidden="1"/>
    </xf>
    <xf numFmtId="0" fontId="33" fillId="0" borderId="4" xfId="0" applyFont="1" applyBorder="1" applyAlignment="1">
      <alignment horizontal="left" vertical="center" wrapText="1"/>
    </xf>
    <xf numFmtId="0" fontId="30" fillId="0" borderId="4" xfId="0" applyFont="1" applyBorder="1" applyAlignment="1">
      <alignment vertical="center" wrapText="1"/>
    </xf>
    <xf numFmtId="0" fontId="47" fillId="0" borderId="0" xfId="0" applyFont="1" applyAlignment="1" applyProtection="1">
      <alignment horizontal="left" vertical="center" wrapText="1"/>
      <protection hidden="1"/>
    </xf>
    <xf numFmtId="49" fontId="25" fillId="13" borderId="0" xfId="0" applyNumberFormat="1" applyFont="1" applyFill="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0" fontId="37" fillId="71" borderId="4" xfId="0" applyFont="1" applyFill="1" applyBorder="1" applyAlignment="1">
      <alignment horizontal="center" vertical="center" wrapText="1"/>
    </xf>
    <xf numFmtId="0" fontId="169" fillId="71" borderId="4" xfId="0" applyFont="1" applyFill="1" applyBorder="1" applyAlignment="1">
      <alignment horizontal="center" vertical="center" wrapText="1"/>
    </xf>
    <xf numFmtId="0" fontId="37" fillId="71" borderId="9" xfId="0" applyFont="1" applyFill="1" applyBorder="1" applyAlignment="1">
      <alignment horizontal="center" vertical="center" wrapText="1"/>
    </xf>
    <xf numFmtId="0" fontId="14" fillId="0" borderId="4" xfId="5" applyFont="1" applyBorder="1" applyAlignment="1" applyProtection="1">
      <alignment horizontal="center" vertical="center"/>
      <protection hidden="1"/>
    </xf>
    <xf numFmtId="0" fontId="7" fillId="2" borderId="4" xfId="20" applyBorder="1" applyAlignment="1">
      <alignment horizontal="center" vertical="center"/>
    </xf>
    <xf numFmtId="0" fontId="168" fillId="66" borderId="4" xfId="36" applyBorder="1" applyAlignment="1">
      <alignment horizontal="center" vertical="center"/>
    </xf>
    <xf numFmtId="0" fontId="14" fillId="0" borderId="4" xfId="5" applyFont="1" applyBorder="1" applyProtection="1">
      <protection hidden="1"/>
    </xf>
    <xf numFmtId="0" fontId="57" fillId="3" borderId="4" xfId="35" applyFont="1" applyBorder="1" applyAlignment="1">
      <alignment horizontal="center" vertical="center"/>
    </xf>
    <xf numFmtId="0" fontId="57" fillId="20" borderId="4" xfId="35" applyFont="1" applyFill="1" applyBorder="1" applyAlignment="1">
      <alignment horizontal="center" vertical="center"/>
    </xf>
    <xf numFmtId="0" fontId="168" fillId="66" borderId="4" xfId="36" applyBorder="1" applyAlignment="1">
      <alignment horizontal="center" vertical="center" wrapText="1"/>
    </xf>
    <xf numFmtId="0" fontId="170" fillId="66" borderId="4" xfId="36" applyFont="1" applyBorder="1" applyAlignment="1">
      <alignment horizontal="center" vertical="center"/>
    </xf>
    <xf numFmtId="0" fontId="14" fillId="0" borderId="13" xfId="0" applyFont="1" applyBorder="1" applyAlignment="1" applyProtection="1">
      <alignment horizontal="left" vertical="center"/>
      <protection locked="0"/>
    </xf>
    <xf numFmtId="0" fontId="14" fillId="0" borderId="33" xfId="0" applyFont="1" applyBorder="1" applyAlignment="1" applyProtection="1">
      <alignment horizontal="left" vertical="center"/>
      <protection locked="0"/>
    </xf>
    <xf numFmtId="0" fontId="25" fillId="5" borderId="49" xfId="5" applyFont="1" applyFill="1" applyBorder="1" applyAlignment="1" applyProtection="1">
      <alignment horizontal="center" vertical="center" wrapText="1"/>
      <protection hidden="1"/>
    </xf>
    <xf numFmtId="0" fontId="165" fillId="0" borderId="0" xfId="5" applyFont="1" applyAlignment="1" applyProtection="1">
      <alignment horizontal="center" vertical="center"/>
      <protection locked="0"/>
    </xf>
    <xf numFmtId="0" fontId="171" fillId="2" borderId="4" xfId="20" applyFont="1" applyBorder="1" applyAlignment="1">
      <alignment horizontal="center" vertical="center"/>
    </xf>
    <xf numFmtId="0" fontId="172" fillId="3" borderId="4" xfId="35" applyFont="1" applyBorder="1" applyAlignment="1">
      <alignment horizontal="center" vertical="center"/>
    </xf>
    <xf numFmtId="0" fontId="66" fillId="20" borderId="0" xfId="0" applyFont="1" applyFill="1" applyProtection="1">
      <protection hidden="1"/>
    </xf>
    <xf numFmtId="10" fontId="110" fillId="15" borderId="142" xfId="7" applyNumberFormat="1" applyFont="1" applyFill="1" applyBorder="1" applyAlignment="1" applyProtection="1">
      <alignment horizontal="center" vertical="center"/>
      <protection hidden="1"/>
    </xf>
    <xf numFmtId="10" fontId="110" fillId="15" borderId="47" xfId="7" applyNumberFormat="1" applyFont="1" applyFill="1" applyBorder="1" applyAlignment="1" applyProtection="1">
      <alignment horizontal="center" vertical="center"/>
      <protection hidden="1"/>
    </xf>
    <xf numFmtId="10" fontId="117" fillId="36" borderId="129" xfId="7" applyNumberFormat="1" applyFont="1" applyFill="1" applyBorder="1" applyAlignment="1" applyProtection="1">
      <alignment horizontal="center"/>
      <protection hidden="1"/>
    </xf>
    <xf numFmtId="10" fontId="28" fillId="61" borderId="11" xfId="2" applyNumberFormat="1" applyFont="1" applyFill="1" applyBorder="1" applyAlignment="1" applyProtection="1">
      <alignment horizontal="center" vertical="center"/>
      <protection hidden="1"/>
    </xf>
    <xf numFmtId="10" fontId="28" fillId="61" borderId="12" xfId="2" applyNumberFormat="1" applyFont="1" applyFill="1" applyBorder="1" applyAlignment="1" applyProtection="1">
      <alignment horizontal="center" vertical="center"/>
      <protection hidden="1"/>
    </xf>
    <xf numFmtId="9" fontId="25" fillId="0" borderId="138" xfId="2" applyFont="1" applyFill="1" applyBorder="1" applyAlignment="1" applyProtection="1">
      <alignment horizontal="center" vertical="center"/>
      <protection hidden="1"/>
    </xf>
    <xf numFmtId="9" fontId="151" fillId="0" borderId="100" xfId="2" applyFont="1" applyBorder="1" applyAlignment="1">
      <alignment horizontal="center" vertical="center" wrapText="1"/>
    </xf>
    <xf numFmtId="182" fontId="14" fillId="25" borderId="4" xfId="2" applyNumberFormat="1" applyFont="1" applyFill="1" applyBorder="1" applyAlignment="1" applyProtection="1">
      <alignment horizontal="center" vertical="center"/>
      <protection hidden="1"/>
    </xf>
    <xf numFmtId="183" fontId="14" fillId="25" borderId="4" xfId="19" applyNumberFormat="1" applyFont="1" applyFill="1" applyBorder="1" applyAlignment="1" applyProtection="1">
      <alignment horizontal="center" vertical="center"/>
      <protection hidden="1"/>
    </xf>
    <xf numFmtId="9" fontId="14" fillId="25" borderId="4" xfId="2" applyFont="1" applyFill="1" applyBorder="1" applyAlignment="1" applyProtection="1">
      <alignment horizontal="center" vertical="center"/>
      <protection hidden="1"/>
    </xf>
    <xf numFmtId="9" fontId="14" fillId="16" borderId="4" xfId="2" applyFont="1" applyFill="1" applyBorder="1" applyAlignment="1" applyProtection="1">
      <alignment horizontal="center" vertical="center"/>
      <protection hidden="1"/>
    </xf>
    <xf numFmtId="9" fontId="14" fillId="15" borderId="4" xfId="2" applyFont="1" applyFill="1" applyBorder="1" applyAlignment="1" applyProtection="1">
      <alignment horizontal="center" vertical="center"/>
      <protection hidden="1"/>
    </xf>
    <xf numFmtId="10" fontId="10" fillId="13" borderId="4" xfId="2" applyNumberFormat="1" applyFont="1" applyFill="1" applyBorder="1" applyAlignment="1" applyProtection="1">
      <alignment horizontal="center" vertical="center" wrapText="1"/>
      <protection hidden="1"/>
    </xf>
    <xf numFmtId="0" fontId="33" fillId="0" borderId="4" xfId="0" applyFont="1" applyBorder="1" applyAlignment="1">
      <alignment horizontal="left" vertical="center"/>
    </xf>
    <xf numFmtId="0" fontId="30" fillId="0" borderId="4" xfId="0" applyFont="1" applyBorder="1" applyAlignment="1">
      <alignment horizontal="left" vertical="center"/>
    </xf>
    <xf numFmtId="0" fontId="33" fillId="0" borderId="4" xfId="0" applyFont="1" applyBorder="1" applyAlignment="1">
      <alignment vertical="center" wrapText="1"/>
    </xf>
    <xf numFmtId="43" fontId="25" fillId="0" borderId="4" xfId="0" applyNumberFormat="1" applyFont="1" applyBorder="1" applyAlignment="1" applyProtection="1">
      <alignment vertical="center"/>
      <protection hidden="1"/>
    </xf>
    <xf numFmtId="43" fontId="14" fillId="0" borderId="4" xfId="0" applyNumberFormat="1" applyFont="1" applyBorder="1" applyAlignment="1" applyProtection="1">
      <alignment vertical="center"/>
      <protection hidden="1"/>
    </xf>
    <xf numFmtId="0" fontId="175" fillId="0" borderId="0" xfId="0" applyFont="1" applyAlignment="1" applyProtection="1">
      <alignment vertical="center"/>
      <protection hidden="1"/>
    </xf>
    <xf numFmtId="0" fontId="176" fillId="13" borderId="0" xfId="0" applyFont="1" applyFill="1" applyAlignment="1" applyProtection="1">
      <alignment vertical="center"/>
      <protection hidden="1"/>
    </xf>
    <xf numFmtId="179" fontId="175" fillId="0" borderId="45" xfId="0" applyNumberFormat="1" applyFont="1" applyBorder="1" applyProtection="1">
      <protection locked="0"/>
    </xf>
    <xf numFmtId="179" fontId="175" fillId="0" borderId="0" xfId="0" applyNumberFormat="1" applyFont="1" applyProtection="1">
      <protection locked="0"/>
    </xf>
    <xf numFmtId="0" fontId="175" fillId="0" borderId="0" xfId="0" applyFont="1" applyAlignment="1" applyProtection="1">
      <alignment horizontal="center"/>
      <protection locked="0"/>
    </xf>
    <xf numFmtId="0" fontId="94" fillId="0" borderId="0" xfId="0" applyFont="1" applyAlignment="1" applyProtection="1">
      <alignment vertical="center"/>
      <protection hidden="1"/>
    </xf>
    <xf numFmtId="0" fontId="177" fillId="0" borderId="0" xfId="0" applyFont="1" applyAlignment="1">
      <alignment horizontal="center" vertical="center"/>
    </xf>
    <xf numFmtId="0" fontId="177" fillId="13" borderId="0" xfId="0" applyFont="1" applyFill="1" applyAlignment="1" applyProtection="1">
      <alignment horizontal="center" vertical="center"/>
      <protection locked="0" hidden="1"/>
    </xf>
    <xf numFmtId="0" fontId="176" fillId="0" borderId="45" xfId="0" applyFont="1" applyBorder="1" applyAlignment="1" applyProtection="1">
      <alignment vertical="center"/>
      <protection hidden="1"/>
    </xf>
    <xf numFmtId="0" fontId="176" fillId="0" borderId="0" xfId="0" applyFont="1" applyAlignment="1" applyProtection="1">
      <alignment vertical="center"/>
      <protection hidden="1"/>
    </xf>
    <xf numFmtId="0" fontId="175" fillId="0" borderId="45" xfId="0" applyFont="1" applyBorder="1" applyAlignment="1" applyProtection="1">
      <alignment vertical="center" wrapText="1"/>
      <protection hidden="1"/>
    </xf>
    <xf numFmtId="0" fontId="178" fillId="0" borderId="0" xfId="0" applyFont="1" applyAlignment="1" applyProtection="1">
      <alignment horizontal="justify" vertical="center" wrapText="1"/>
      <protection hidden="1"/>
    </xf>
    <xf numFmtId="0" fontId="175" fillId="0" borderId="0" xfId="0" applyFont="1" applyAlignment="1" applyProtection="1">
      <alignment vertical="center" wrapText="1"/>
      <protection hidden="1"/>
    </xf>
    <xf numFmtId="0" fontId="175" fillId="0" borderId="0" xfId="0" applyFont="1" applyAlignment="1" applyProtection="1">
      <alignment horizontal="justify" vertical="center" wrapText="1"/>
      <protection hidden="1"/>
    </xf>
    <xf numFmtId="0" fontId="175" fillId="0" borderId="0" xfId="0" applyFont="1" applyAlignment="1">
      <alignment vertical="center"/>
    </xf>
    <xf numFmtId="8" fontId="94" fillId="0" borderId="0" xfId="0" applyNumberFormat="1" applyFont="1"/>
    <xf numFmtId="0" fontId="94" fillId="0" borderId="0" xfId="0" applyFont="1" applyAlignment="1" applyProtection="1">
      <alignment horizontal="center" vertical="center"/>
      <protection hidden="1"/>
    </xf>
    <xf numFmtId="167" fontId="94" fillId="0" borderId="0" xfId="18" applyNumberFormat="1" applyFont="1" applyAlignment="1" applyProtection="1">
      <alignment horizontal="center" vertical="center" wrapText="1"/>
      <protection hidden="1"/>
    </xf>
    <xf numFmtId="43" fontId="175" fillId="0" borderId="0" xfId="18" applyFont="1" applyAlignment="1" applyProtection="1">
      <alignment vertical="center"/>
      <protection hidden="1"/>
    </xf>
    <xf numFmtId="7" fontId="175" fillId="0" borderId="0" xfId="0" applyNumberFormat="1" applyFont="1" applyAlignment="1" applyProtection="1">
      <alignment vertical="center"/>
      <protection hidden="1"/>
    </xf>
    <xf numFmtId="0" fontId="178" fillId="13" borderId="0" xfId="0" applyFont="1" applyFill="1" applyAlignment="1" applyProtection="1">
      <alignment vertical="center"/>
      <protection locked="0" hidden="1"/>
    </xf>
    <xf numFmtId="0" fontId="178" fillId="0" borderId="0" xfId="0" applyFont="1" applyAlignment="1" applyProtection="1">
      <alignment vertical="center"/>
      <protection hidden="1"/>
    </xf>
    <xf numFmtId="0" fontId="175" fillId="0" borderId="0" xfId="0" applyFont="1" applyProtection="1">
      <protection hidden="1"/>
    </xf>
    <xf numFmtId="0" fontId="180" fillId="0" borderId="0" xfId="0" applyFont="1" applyAlignment="1" applyProtection="1">
      <alignment horizontal="justify" vertical="top" wrapText="1"/>
      <protection locked="0"/>
    </xf>
    <xf numFmtId="0" fontId="180" fillId="0" borderId="0" xfId="0" applyFont="1" applyAlignment="1" applyProtection="1">
      <alignment vertical="top" wrapText="1"/>
      <protection locked="0"/>
    </xf>
    <xf numFmtId="0" fontId="175" fillId="0" borderId="0" xfId="0" applyFont="1" applyAlignment="1" applyProtection="1">
      <alignment horizontal="center" vertical="center"/>
      <protection hidden="1"/>
    </xf>
    <xf numFmtId="0" fontId="175" fillId="13" borderId="45" xfId="0" applyFont="1" applyFill="1" applyBorder="1" applyAlignment="1" applyProtection="1">
      <alignment horizontal="right" vertical="top"/>
      <protection hidden="1"/>
    </xf>
    <xf numFmtId="10" fontId="175" fillId="13" borderId="0" xfId="0" applyNumberFormat="1" applyFont="1" applyFill="1" applyAlignment="1" applyProtection="1">
      <alignment horizontal="center" vertical="top"/>
      <protection hidden="1"/>
    </xf>
    <xf numFmtId="9" fontId="175" fillId="13" borderId="0" xfId="0" applyNumberFormat="1" applyFont="1" applyFill="1" applyAlignment="1" applyProtection="1">
      <alignment horizontal="right" vertical="top"/>
      <protection hidden="1"/>
    </xf>
    <xf numFmtId="10" fontId="175" fillId="13" borderId="0" xfId="19" applyNumberFormat="1" applyFont="1" applyFill="1" applyBorder="1" applyAlignment="1" applyProtection="1">
      <alignment horizontal="center" vertical="top"/>
      <protection hidden="1"/>
    </xf>
    <xf numFmtId="10" fontId="175" fillId="13" borderId="0" xfId="19" applyNumberFormat="1" applyFont="1" applyFill="1" applyBorder="1" applyAlignment="1" applyProtection="1">
      <alignment horizontal="right" vertical="top"/>
      <protection hidden="1"/>
    </xf>
    <xf numFmtId="0" fontId="94" fillId="13" borderId="45" xfId="0" applyFont="1" applyFill="1" applyBorder="1" applyAlignment="1" applyProtection="1">
      <alignment horizontal="right" vertical="center"/>
      <protection hidden="1"/>
    </xf>
    <xf numFmtId="6" fontId="94" fillId="13" borderId="0" xfId="0" applyNumberFormat="1" applyFont="1" applyFill="1" applyAlignment="1" applyProtection="1">
      <alignment horizontal="center" vertical="center"/>
      <protection hidden="1"/>
    </xf>
    <xf numFmtId="9" fontId="94" fillId="13" borderId="0" xfId="0" applyNumberFormat="1" applyFont="1" applyFill="1" applyAlignment="1" applyProtection="1">
      <alignment horizontal="right" vertical="center"/>
      <protection hidden="1"/>
    </xf>
    <xf numFmtId="5" fontId="94" fillId="13" borderId="0" xfId="19" applyNumberFormat="1" applyFont="1" applyFill="1" applyBorder="1" applyAlignment="1" applyProtection="1">
      <alignment horizontal="center" vertical="center"/>
      <protection hidden="1"/>
    </xf>
    <xf numFmtId="170" fontId="94" fillId="13" borderId="0" xfId="0" applyNumberFormat="1" applyFont="1" applyFill="1" applyAlignment="1" applyProtection="1">
      <alignment horizontal="center" vertical="center"/>
      <protection hidden="1"/>
    </xf>
    <xf numFmtId="5" fontId="94" fillId="13" borderId="0" xfId="19" applyNumberFormat="1" applyFont="1" applyFill="1" applyBorder="1" applyAlignment="1" applyProtection="1">
      <alignment horizontal="right" vertical="center"/>
      <protection hidden="1"/>
    </xf>
    <xf numFmtId="0" fontId="175" fillId="0" borderId="45" xfId="0" applyFont="1" applyBorder="1" applyAlignment="1" applyProtection="1">
      <alignment horizontal="right" vertical="top"/>
      <protection hidden="1"/>
    </xf>
    <xf numFmtId="10" fontId="175" fillId="0" borderId="0" xfId="0" applyNumberFormat="1" applyFont="1" applyAlignment="1" applyProtection="1">
      <alignment horizontal="center" vertical="top"/>
      <protection hidden="1"/>
    </xf>
    <xf numFmtId="9" fontId="175" fillId="0" borderId="0" xfId="0" applyNumberFormat="1" applyFont="1" applyAlignment="1" applyProtection="1">
      <alignment horizontal="right" vertical="top"/>
      <protection hidden="1"/>
    </xf>
    <xf numFmtId="10" fontId="175" fillId="0" borderId="0" xfId="19" applyNumberFormat="1" applyFont="1" applyBorder="1" applyAlignment="1" applyProtection="1">
      <alignment horizontal="center" vertical="top"/>
      <protection hidden="1"/>
    </xf>
    <xf numFmtId="170" fontId="175" fillId="0" borderId="0" xfId="0" applyNumberFormat="1" applyFont="1" applyAlignment="1" applyProtection="1">
      <alignment horizontal="center" vertical="top"/>
      <protection hidden="1"/>
    </xf>
    <xf numFmtId="10" fontId="175" fillId="0" borderId="0" xfId="19" applyNumberFormat="1" applyFont="1" applyBorder="1" applyAlignment="1" applyProtection="1">
      <alignment horizontal="right" vertical="top"/>
      <protection hidden="1"/>
    </xf>
    <xf numFmtId="0" fontId="94" fillId="0" borderId="45" xfId="0" applyFont="1" applyBorder="1" applyAlignment="1" applyProtection="1">
      <alignment horizontal="right" vertical="center"/>
      <protection hidden="1"/>
    </xf>
    <xf numFmtId="6" fontId="94" fillId="0" borderId="0" xfId="0" applyNumberFormat="1" applyFont="1" applyAlignment="1" applyProtection="1">
      <alignment horizontal="center" vertical="center"/>
      <protection hidden="1"/>
    </xf>
    <xf numFmtId="9" fontId="94" fillId="0" borderId="0" xfId="0" applyNumberFormat="1" applyFont="1" applyAlignment="1" applyProtection="1">
      <alignment horizontal="right" vertical="center"/>
      <protection hidden="1"/>
    </xf>
    <xf numFmtId="5" fontId="94" fillId="0" borderId="0" xfId="19" applyNumberFormat="1" applyFont="1" applyBorder="1" applyAlignment="1" applyProtection="1">
      <alignment horizontal="center" vertical="center"/>
      <protection hidden="1"/>
    </xf>
    <xf numFmtId="170" fontId="94" fillId="0" borderId="0" xfId="0" applyNumberFormat="1" applyFont="1" applyAlignment="1" applyProtection="1">
      <alignment horizontal="center" vertical="center"/>
      <protection hidden="1"/>
    </xf>
    <xf numFmtId="5" fontId="94" fillId="0" borderId="0" xfId="19" applyNumberFormat="1" applyFont="1" applyBorder="1" applyAlignment="1" applyProtection="1">
      <alignment horizontal="right" vertical="center"/>
      <protection hidden="1"/>
    </xf>
    <xf numFmtId="0" fontId="175" fillId="0" borderId="0" xfId="0" applyFont="1"/>
    <xf numFmtId="0" fontId="180" fillId="0" borderId="45" xfId="0" applyFont="1" applyBorder="1" applyAlignment="1" applyProtection="1">
      <alignment vertical="top" wrapText="1"/>
      <protection locked="0"/>
    </xf>
    <xf numFmtId="0" fontId="175" fillId="0" borderId="0" xfId="0" applyFont="1" applyAlignment="1" applyProtection="1">
      <alignment horizontal="center" vertical="center" wrapText="1"/>
      <protection hidden="1"/>
    </xf>
    <xf numFmtId="41" fontId="175" fillId="0" borderId="4" xfId="19" applyFont="1" applyBorder="1" applyAlignment="1" applyProtection="1">
      <protection locked="0"/>
    </xf>
    <xf numFmtId="41" fontId="175" fillId="0" borderId="0" xfId="19" applyFont="1" applyBorder="1" applyAlignment="1" applyProtection="1">
      <protection locked="0"/>
    </xf>
    <xf numFmtId="41" fontId="175" fillId="0" borderId="0" xfId="19" applyFont="1" applyFill="1" applyBorder="1" applyAlignment="1" applyProtection="1"/>
    <xf numFmtId="0" fontId="94" fillId="0" borderId="0" xfId="0" applyFont="1" applyAlignment="1">
      <alignment horizontal="center" vertical="center"/>
    </xf>
    <xf numFmtId="0" fontId="175" fillId="0" borderId="0" xfId="0" applyFont="1" applyProtection="1">
      <protection locked="0"/>
    </xf>
    <xf numFmtId="0" fontId="175" fillId="0" borderId="0" xfId="0" applyFont="1" applyAlignment="1" applyProtection="1">
      <alignment vertical="center"/>
      <protection locked="0"/>
    </xf>
    <xf numFmtId="0" fontId="175" fillId="0" borderId="0" xfId="0" applyFont="1" applyAlignment="1" applyProtection="1">
      <alignment horizontal="center" vertical="center"/>
      <protection locked="0"/>
    </xf>
    <xf numFmtId="0" fontId="175" fillId="13" borderId="0" xfId="0" applyFont="1" applyFill="1" applyProtection="1">
      <protection locked="0"/>
    </xf>
    <xf numFmtId="0" fontId="175" fillId="30" borderId="0" xfId="0" applyFont="1" applyFill="1"/>
    <xf numFmtId="0" fontId="175" fillId="30" borderId="0" xfId="0" applyFont="1" applyFill="1" applyAlignment="1">
      <alignment horizontal="center"/>
    </xf>
    <xf numFmtId="0" fontId="175" fillId="0" borderId="0" xfId="0" applyFont="1" applyAlignment="1">
      <alignment horizontal="center" vertical="center" wrapText="1"/>
    </xf>
    <xf numFmtId="0" fontId="175" fillId="0" borderId="0" xfId="0" applyFont="1" applyAlignment="1">
      <alignment horizontal="center" vertical="center"/>
    </xf>
    <xf numFmtId="0" fontId="10" fillId="0" borderId="0" xfId="0" applyFont="1" applyAlignment="1" applyProtection="1">
      <alignment horizontal="center" vertical="center"/>
      <protection hidden="1"/>
    </xf>
    <xf numFmtId="0" fontId="25" fillId="0" borderId="0" xfId="0" applyFont="1" applyAlignment="1">
      <alignment horizontal="right" vertical="center"/>
    </xf>
    <xf numFmtId="0" fontId="4" fillId="0" borderId="0" xfId="0" applyFont="1" applyProtection="1">
      <protection hidden="1"/>
    </xf>
    <xf numFmtId="0" fontId="19" fillId="0" borderId="0" xfId="0" applyFont="1" applyAlignment="1" applyProtection="1">
      <alignment vertical="center" wrapText="1"/>
      <protection hidden="1"/>
    </xf>
    <xf numFmtId="2" fontId="19" fillId="0" borderId="0" xfId="0" applyNumberFormat="1" applyFont="1" applyAlignment="1" applyProtection="1">
      <alignment vertical="center"/>
      <protection hidden="1"/>
    </xf>
    <xf numFmtId="180" fontId="19" fillId="0" borderId="0" xfId="18" applyNumberFormat="1" applyFont="1" applyAlignment="1" applyProtection="1">
      <alignment vertical="center"/>
      <protection hidden="1"/>
    </xf>
    <xf numFmtId="10" fontId="14" fillId="0" borderId="0" xfId="2" applyNumberFormat="1" applyFont="1" applyAlignment="1" applyProtection="1">
      <alignment vertical="center"/>
      <protection hidden="1"/>
    </xf>
    <xf numFmtId="0" fontId="47" fillId="0" borderId="4" xfId="0" applyFont="1" applyBorder="1" applyProtection="1">
      <protection hidden="1"/>
    </xf>
    <xf numFmtId="0" fontId="47" fillId="0" borderId="4" xfId="0" applyFont="1" applyBorder="1" applyAlignment="1" applyProtection="1">
      <alignment horizontal="right"/>
      <protection hidden="1"/>
    </xf>
    <xf numFmtId="0" fontId="47" fillId="9" borderId="4" xfId="0" applyFont="1" applyFill="1" applyBorder="1" applyAlignment="1" applyProtection="1">
      <alignment horizontal="center" vertical="center"/>
      <protection hidden="1"/>
    </xf>
    <xf numFmtId="0" fontId="4" fillId="0" borderId="0" xfId="0" applyFont="1" applyAlignment="1" applyProtection="1">
      <alignment horizontal="center" vertical="center" wrapText="1"/>
      <protection locked="0"/>
    </xf>
    <xf numFmtId="2" fontId="14" fillId="0" borderId="0" xfId="0" applyNumberFormat="1" applyFont="1"/>
    <xf numFmtId="170" fontId="14" fillId="0" borderId="0" xfId="0" applyNumberFormat="1" applyFont="1"/>
    <xf numFmtId="180" fontId="14" fillId="0" borderId="0" xfId="18" applyNumberFormat="1" applyFont="1"/>
    <xf numFmtId="0" fontId="35" fillId="0" borderId="4" xfId="0" applyFont="1" applyBorder="1" applyAlignment="1" applyProtection="1">
      <alignment horizontal="right" vertical="center"/>
      <protection hidden="1"/>
    </xf>
    <xf numFmtId="0" fontId="14" fillId="47" borderId="4" xfId="0" applyFont="1" applyFill="1" applyBorder="1" applyProtection="1">
      <protection locked="0"/>
    </xf>
    <xf numFmtId="0" fontId="47" fillId="0" borderId="0" xfId="0" applyFont="1" applyProtection="1">
      <protection hidden="1"/>
    </xf>
    <xf numFmtId="14" fontId="47" fillId="0" borderId="0" xfId="0" applyNumberFormat="1" applyFont="1" applyAlignment="1" applyProtection="1">
      <alignment horizontal="justify"/>
      <protection hidden="1"/>
    </xf>
    <xf numFmtId="0" fontId="35" fillId="0" borderId="0" xfId="0" applyFont="1" applyAlignment="1" applyProtection="1">
      <alignment horizontal="right" vertical="center"/>
      <protection hidden="1"/>
    </xf>
    <xf numFmtId="14" fontId="25" fillId="0" borderId="0" xfId="0" applyNumberFormat="1" applyFont="1" applyAlignment="1" applyProtection="1">
      <alignment horizontal="center" vertical="center"/>
      <protection hidden="1"/>
    </xf>
    <xf numFmtId="10" fontId="51" fillId="0" borderId="0" xfId="2" applyNumberFormat="1" applyFont="1" applyFill="1" applyBorder="1" applyAlignment="1" applyProtection="1">
      <alignment horizontal="right" vertical="center"/>
      <protection hidden="1"/>
    </xf>
    <xf numFmtId="0" fontId="14" fillId="13" borderId="0" xfId="0" applyFont="1" applyFill="1" applyAlignment="1" applyProtection="1">
      <alignment wrapText="1"/>
      <protection locked="0"/>
    </xf>
    <xf numFmtId="0" fontId="4" fillId="13" borderId="0" xfId="0" applyFont="1" applyFill="1" applyAlignment="1" applyProtection="1">
      <alignment wrapText="1"/>
      <protection locked="0"/>
    </xf>
    <xf numFmtId="0" fontId="10" fillId="13" borderId="33" xfId="16" applyFont="1" applyFill="1" applyBorder="1" applyAlignment="1" applyProtection="1">
      <alignment horizontal="center" vertical="center" wrapText="1"/>
      <protection locked="0"/>
    </xf>
    <xf numFmtId="0" fontId="10" fillId="13" borderId="0" xfId="16" applyFont="1" applyFill="1" applyBorder="1" applyAlignment="1" applyProtection="1">
      <alignment horizontal="center" vertical="center" wrapText="1"/>
      <protection locked="0"/>
    </xf>
    <xf numFmtId="170" fontId="25" fillId="67" borderId="4" xfId="2" applyNumberFormat="1" applyFont="1" applyFill="1" applyBorder="1" applyAlignment="1" applyProtection="1">
      <alignment horizontal="left" vertical="center" wrapText="1"/>
      <protection hidden="1"/>
    </xf>
    <xf numFmtId="0" fontId="4" fillId="13" borderId="0" xfId="0" applyFont="1" applyFill="1" applyAlignment="1" applyProtection="1">
      <alignment horizontal="center" vertical="center" wrapText="1"/>
      <protection locked="0"/>
    </xf>
    <xf numFmtId="0" fontId="14" fillId="13" borderId="0" xfId="0" applyFont="1" applyFill="1" applyAlignment="1" applyProtection="1">
      <alignment horizontal="center" vertical="center" wrapText="1"/>
      <protection locked="0"/>
    </xf>
    <xf numFmtId="181" fontId="14" fillId="13" borderId="0" xfId="0" applyNumberFormat="1" applyFont="1" applyFill="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12" borderId="9" xfId="0" applyFont="1" applyFill="1" applyBorder="1" applyAlignment="1" applyProtection="1">
      <alignment horizontal="center" vertical="center" wrapText="1"/>
      <protection locked="0"/>
    </xf>
    <xf numFmtId="0" fontId="4" fillId="12" borderId="4" xfId="0" applyFont="1" applyFill="1" applyBorder="1" applyAlignment="1" applyProtection="1">
      <alignment horizontal="center" vertical="center" wrapText="1"/>
      <protection locked="0"/>
    </xf>
    <xf numFmtId="3" fontId="14" fillId="0" borderId="4" xfId="0" applyNumberFormat="1" applyFont="1" applyBorder="1" applyAlignment="1" applyProtection="1">
      <alignment vertical="center" wrapText="1"/>
      <protection locked="0"/>
    </xf>
    <xf numFmtId="3" fontId="14" fillId="0" borderId="4" xfId="15" applyNumberFormat="1" applyFont="1" applyFill="1" applyBorder="1" applyAlignment="1" applyProtection="1">
      <alignment horizontal="center" vertical="center" wrapText="1"/>
      <protection locked="0"/>
    </xf>
    <xf numFmtId="3" fontId="14" fillId="0" borderId="4" xfId="0" applyNumberFormat="1" applyFont="1" applyBorder="1" applyAlignment="1" applyProtection="1">
      <alignment horizontal="center" vertical="center" wrapText="1"/>
      <protection locked="0"/>
    </xf>
    <xf numFmtId="166" fontId="14" fillId="13" borderId="0" xfId="0" applyNumberFormat="1" applyFont="1" applyFill="1" applyAlignment="1" applyProtection="1">
      <alignment horizontal="center" vertical="center" wrapText="1"/>
      <protection locked="0"/>
    </xf>
    <xf numFmtId="0" fontId="4" fillId="48" borderId="9" xfId="0" applyFont="1" applyFill="1" applyBorder="1" applyAlignment="1" applyProtection="1">
      <alignment horizontal="center" vertical="center" wrapText="1"/>
      <protection locked="0"/>
    </xf>
    <xf numFmtId="0" fontId="4" fillId="48" borderId="4"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49" borderId="9" xfId="0" applyFont="1" applyFill="1" applyBorder="1" applyAlignment="1" applyProtection="1">
      <alignment horizontal="center" vertical="center" wrapText="1"/>
      <protection locked="0"/>
    </xf>
    <xf numFmtId="0" fontId="4" fillId="49" borderId="4" xfId="0" applyFont="1" applyFill="1" applyBorder="1" applyAlignment="1" applyProtection="1">
      <alignment horizontal="center" vertical="center" wrapText="1"/>
      <protection locked="0"/>
    </xf>
    <xf numFmtId="0" fontId="4" fillId="0" borderId="4"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4"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3" fontId="14" fillId="13" borderId="0" xfId="0" applyNumberFormat="1" applyFont="1" applyFill="1" applyAlignment="1" applyProtection="1">
      <alignment horizontal="center" vertical="center" wrapText="1"/>
      <protection locked="0"/>
    </xf>
    <xf numFmtId="0" fontId="4" fillId="13" borderId="21" xfId="0" applyFont="1" applyFill="1" applyBorder="1" applyAlignment="1" applyProtection="1">
      <alignment horizontal="center" vertical="center" wrapText="1"/>
      <protection locked="0"/>
    </xf>
    <xf numFmtId="0" fontId="47" fillId="13" borderId="21" xfId="0" applyFont="1" applyFill="1" applyBorder="1" applyAlignment="1" applyProtection="1">
      <alignment horizontal="left" vertical="center" wrapText="1"/>
      <protection locked="0"/>
    </xf>
    <xf numFmtId="0" fontId="9" fillId="13" borderId="21" xfId="0" applyFont="1" applyFill="1" applyBorder="1" applyAlignment="1" applyProtection="1">
      <alignment horizontal="justify" vertical="center"/>
      <protection locked="0"/>
    </xf>
    <xf numFmtId="0" fontId="9" fillId="49" borderId="21" xfId="28" applyFill="1" applyBorder="1" applyAlignment="1" applyProtection="1">
      <alignment horizontal="justify" vertical="center" wrapText="1"/>
      <protection locked="0"/>
    </xf>
    <xf numFmtId="0" fontId="9" fillId="13" borderId="21" xfId="28" applyFill="1" applyBorder="1" applyAlignment="1" applyProtection="1">
      <alignment horizontal="justify" vertical="center" wrapText="1"/>
      <protection locked="0"/>
    </xf>
    <xf numFmtId="0" fontId="9" fillId="50" borderId="21" xfId="28" applyFill="1" applyBorder="1" applyAlignment="1" applyProtection="1">
      <alignment horizontal="justify" vertical="center" wrapText="1"/>
      <protection locked="0"/>
    </xf>
    <xf numFmtId="0" fontId="54" fillId="13" borderId="21" xfId="28" applyFont="1" applyFill="1" applyBorder="1" applyAlignment="1" applyProtection="1">
      <alignment horizontal="justify" vertical="center" wrapText="1"/>
      <protection locked="0"/>
    </xf>
    <xf numFmtId="0" fontId="4" fillId="0" borderId="46" xfId="0" applyFont="1" applyBorder="1" applyAlignment="1" applyProtection="1">
      <alignment horizontal="center" vertical="center" wrapText="1"/>
      <protection locked="0"/>
    </xf>
    <xf numFmtId="3" fontId="124" fillId="0" borderId="21" xfId="29" applyNumberFormat="1" applyFont="1" applyBorder="1" applyAlignment="1" applyProtection="1">
      <alignment horizontal="center" vertical="center" wrapText="1"/>
      <protection locked="0"/>
    </xf>
    <xf numFmtId="0" fontId="124" fillId="13" borderId="21" xfId="30" applyFont="1" applyFill="1" applyBorder="1" applyAlignment="1" applyProtection="1">
      <alignment horizontal="center" vertical="center" wrapText="1"/>
      <protection locked="0"/>
    </xf>
    <xf numFmtId="49" fontId="124" fillId="13" borderId="21" xfId="30" applyNumberFormat="1" applyFont="1" applyFill="1" applyBorder="1" applyAlignment="1" applyProtection="1">
      <alignment horizontal="center" vertical="center" wrapText="1"/>
      <protection locked="0"/>
    </xf>
    <xf numFmtId="49" fontId="124" fillId="13" borderId="96" xfId="30" applyNumberFormat="1" applyFont="1" applyFill="1" applyBorder="1" applyAlignment="1" applyProtection="1">
      <alignment horizontal="center" vertical="center" wrapText="1"/>
      <protection locked="0"/>
    </xf>
    <xf numFmtId="49" fontId="124" fillId="13" borderId="157" xfId="30" applyNumberFormat="1" applyFont="1" applyFill="1" applyBorder="1" applyAlignment="1" applyProtection="1">
      <alignment horizontal="center" vertical="center" wrapText="1"/>
      <protection locked="0"/>
    </xf>
    <xf numFmtId="3" fontId="14" fillId="0" borderId="20" xfId="0" applyNumberFormat="1" applyFont="1" applyBorder="1" applyAlignment="1" applyProtection="1">
      <alignment horizontal="center" vertical="center" wrapText="1"/>
      <protection locked="0"/>
    </xf>
    <xf numFmtId="9" fontId="4" fillId="13" borderId="21" xfId="31" applyFont="1" applyFill="1" applyBorder="1" applyAlignment="1" applyProtection="1">
      <alignment horizontal="right" vertical="center" wrapText="1"/>
      <protection locked="0"/>
    </xf>
    <xf numFmtId="9" fontId="4" fillId="0" borderId="21" xfId="31" applyFont="1" applyBorder="1" applyAlignment="1" applyProtection="1">
      <alignment horizontal="right" vertical="center" wrapText="1"/>
      <protection locked="0"/>
    </xf>
    <xf numFmtId="0" fontId="47" fillId="51" borderId="21" xfId="0" applyFont="1" applyFill="1" applyBorder="1" applyAlignment="1" applyProtection="1">
      <alignment horizontal="justify" vertical="top" wrapText="1"/>
      <protection locked="0"/>
    </xf>
    <xf numFmtId="0" fontId="47" fillId="13" borderId="21" xfId="0" applyFont="1" applyFill="1" applyBorder="1" applyAlignment="1" applyProtection="1">
      <alignment horizontal="justify" vertical="top" wrapText="1"/>
      <protection locked="0"/>
    </xf>
    <xf numFmtId="0" fontId="53" fillId="0" borderId="21" xfId="28" applyFont="1" applyBorder="1" applyAlignment="1" applyProtection="1">
      <alignment horizontal="justify" vertical="top" wrapText="1"/>
      <protection locked="0"/>
    </xf>
    <xf numFmtId="0" fontId="9" fillId="13" borderId="21" xfId="0" applyFont="1" applyFill="1" applyBorder="1" applyAlignment="1" applyProtection="1">
      <alignment horizontal="justify" vertical="top"/>
      <protection locked="0"/>
    </xf>
    <xf numFmtId="0" fontId="53" fillId="13" borderId="21" xfId="28" applyFont="1" applyFill="1" applyBorder="1" applyAlignment="1" applyProtection="1">
      <alignment horizontal="justify" vertical="center" wrapText="1"/>
      <protection locked="0"/>
    </xf>
    <xf numFmtId="0" fontId="53" fillId="51" borderId="21" xfId="28" applyFont="1" applyFill="1" applyBorder="1" applyAlignment="1" applyProtection="1">
      <alignment horizontal="justify" vertical="center" wrapText="1"/>
      <protection locked="0"/>
    </xf>
    <xf numFmtId="0" fontId="9" fillId="0" borderId="21" xfId="28" applyBorder="1" applyAlignment="1" applyProtection="1">
      <alignment horizontal="justify" vertical="center" wrapText="1"/>
      <protection locked="0"/>
    </xf>
    <xf numFmtId="0" fontId="4" fillId="0" borderId="20" xfId="0" applyFont="1" applyBorder="1" applyAlignment="1" applyProtection="1">
      <alignment vertical="center" wrapText="1"/>
      <protection locked="0"/>
    </xf>
    <xf numFmtId="0" fontId="4" fillId="0" borderId="94" xfId="0" applyFont="1" applyBorder="1" applyAlignment="1" applyProtection="1">
      <alignment vertical="center" wrapText="1"/>
      <protection locked="0"/>
    </xf>
    <xf numFmtId="0" fontId="4" fillId="0" borderId="0" xfId="0" applyFont="1" applyAlignment="1" applyProtection="1">
      <alignment vertical="center" wrapText="1"/>
      <protection locked="0"/>
    </xf>
    <xf numFmtId="2" fontId="4" fillId="0" borderId="0" xfId="0" applyNumberFormat="1" applyFont="1" applyAlignment="1" applyProtection="1">
      <alignment horizontal="center" vertical="center" wrapText="1"/>
      <protection locked="0"/>
    </xf>
    <xf numFmtId="174" fontId="14" fillId="0" borderId="0" xfId="0" applyNumberFormat="1" applyFont="1" applyAlignment="1" applyProtection="1">
      <alignment horizontal="center" vertical="center" wrapText="1"/>
      <protection locked="0"/>
    </xf>
    <xf numFmtId="0" fontId="14" fillId="0" borderId="0" xfId="0" applyFont="1" applyAlignment="1" applyProtection="1">
      <alignment horizontal="center" vertical="center" wrapText="1"/>
      <protection locked="0"/>
    </xf>
    <xf numFmtId="2" fontId="14" fillId="0" borderId="0" xfId="0" applyNumberFormat="1" applyFont="1" applyAlignment="1" applyProtection="1">
      <alignment vertical="center" wrapText="1"/>
      <protection locked="0"/>
    </xf>
    <xf numFmtId="180" fontId="14" fillId="0" borderId="0" xfId="18" applyNumberFormat="1" applyFont="1" applyAlignment="1" applyProtection="1">
      <alignment horizontal="center" vertical="center" wrapText="1"/>
      <protection locked="0"/>
    </xf>
    <xf numFmtId="180" fontId="14" fillId="0" borderId="0" xfId="18" applyNumberFormat="1" applyFont="1" applyAlignment="1" applyProtection="1">
      <alignment vertical="center" wrapText="1"/>
      <protection locked="0"/>
    </xf>
    <xf numFmtId="0" fontId="25" fillId="0" borderId="4"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179" fontId="14" fillId="9" borderId="4" xfId="0" applyNumberFormat="1" applyFont="1" applyFill="1" applyBorder="1" applyAlignment="1">
      <alignment horizontal="center" vertical="center"/>
    </xf>
    <xf numFmtId="179" fontId="14" fillId="0" borderId="4" xfId="0" applyNumberFormat="1" applyFont="1" applyBorder="1" applyAlignment="1" applyProtection="1">
      <alignment vertical="center"/>
      <protection locked="0"/>
    </xf>
    <xf numFmtId="179" fontId="14" fillId="0" borderId="0" xfId="0" applyNumberFormat="1" applyFont="1" applyAlignment="1" applyProtection="1">
      <alignment vertical="center"/>
      <protection locked="0"/>
    </xf>
    <xf numFmtId="0" fontId="47" fillId="52" borderId="89" xfId="0" applyFont="1" applyFill="1" applyBorder="1"/>
    <xf numFmtId="0" fontId="14" fillId="20" borderId="0" xfId="0" applyFont="1" applyFill="1" applyAlignment="1" applyProtection="1">
      <alignment horizontal="center" vertical="center" wrapText="1"/>
      <protection locked="0"/>
    </xf>
    <xf numFmtId="0" fontId="4" fillId="20" borderId="0" xfId="0" applyFont="1" applyFill="1" applyAlignment="1" applyProtection="1">
      <alignment horizontal="center" vertical="center" wrapText="1"/>
      <protection locked="0"/>
    </xf>
    <xf numFmtId="2" fontId="4" fillId="20" borderId="0" xfId="0" applyNumberFormat="1" applyFont="1" applyFill="1" applyAlignment="1" applyProtection="1">
      <alignment horizontal="center" vertical="center" wrapText="1"/>
      <protection locked="0"/>
    </xf>
    <xf numFmtId="2" fontId="14" fillId="20" borderId="0" xfId="0" applyNumberFormat="1" applyFont="1" applyFill="1" applyAlignment="1" applyProtection="1">
      <alignment vertical="center" wrapText="1"/>
      <protection locked="0"/>
    </xf>
    <xf numFmtId="180" fontId="14" fillId="20" borderId="0" xfId="18" applyNumberFormat="1" applyFont="1" applyFill="1" applyAlignment="1" applyProtection="1">
      <alignment vertical="center" wrapText="1"/>
      <protection locked="0"/>
    </xf>
    <xf numFmtId="0" fontId="14" fillId="20" borderId="0" xfId="0" applyFont="1" applyFill="1" applyAlignment="1" applyProtection="1">
      <alignment wrapText="1"/>
      <protection locked="0"/>
    </xf>
    <xf numFmtId="0" fontId="47" fillId="20" borderId="89" xfId="0" applyFont="1" applyFill="1" applyBorder="1"/>
    <xf numFmtId="184" fontId="25" fillId="0" borderId="4" xfId="0" applyNumberFormat="1" applyFont="1" applyBorder="1" applyAlignment="1">
      <alignment horizontal="center" vertical="center" wrapText="1"/>
    </xf>
    <xf numFmtId="184" fontId="25" fillId="0" borderId="4" xfId="27" applyNumberFormat="1" applyFont="1" applyBorder="1" applyAlignment="1" applyProtection="1">
      <alignment horizontal="center" vertical="center" wrapText="1"/>
    </xf>
    <xf numFmtId="14" fontId="47" fillId="0" borderId="154" xfId="0" applyNumberFormat="1" applyFont="1" applyBorder="1" applyAlignment="1" applyProtection="1">
      <alignment horizontal="justify"/>
      <protection hidden="1"/>
    </xf>
    <xf numFmtId="0" fontId="22" fillId="30" borderId="54" xfId="0" applyFont="1" applyFill="1" applyBorder="1" applyAlignment="1" applyProtection="1">
      <alignment horizontal="center" vertical="center" wrapText="1"/>
      <protection hidden="1"/>
    </xf>
    <xf numFmtId="0" fontId="163" fillId="64" borderId="54" xfId="0" applyFont="1" applyFill="1" applyBorder="1" applyAlignment="1" applyProtection="1">
      <alignment horizontal="center" vertical="center" wrapText="1"/>
      <protection hidden="1"/>
    </xf>
    <xf numFmtId="0" fontId="35" fillId="0" borderId="4" xfId="0" applyFont="1" applyBorder="1" applyAlignment="1" applyProtection="1">
      <alignment horizontal="center" vertical="center"/>
      <protection hidden="1"/>
    </xf>
    <xf numFmtId="0" fontId="14" fillId="0" borderId="33" xfId="0" applyFont="1" applyBorder="1" applyAlignment="1">
      <alignment horizontal="left" vertical="center"/>
    </xf>
    <xf numFmtId="0" fontId="3" fillId="0" borderId="4" xfId="0" applyFont="1" applyBorder="1" applyAlignment="1" applyProtection="1">
      <alignment horizontal="center" vertical="center"/>
      <protection hidden="1"/>
    </xf>
    <xf numFmtId="173" fontId="14" fillId="0" borderId="4" xfId="0" applyNumberFormat="1" applyFont="1" applyBorder="1" applyAlignment="1" applyProtection="1">
      <alignment horizontal="center" vertical="center"/>
      <protection hidden="1"/>
    </xf>
    <xf numFmtId="0" fontId="3" fillId="69" borderId="4" xfId="0" applyFont="1" applyFill="1" applyBorder="1" applyAlignment="1" applyProtection="1">
      <alignment horizontal="center" vertical="center"/>
      <protection hidden="1"/>
    </xf>
    <xf numFmtId="0" fontId="3" fillId="59" borderId="4" xfId="0" applyFont="1" applyFill="1" applyBorder="1" applyAlignment="1" applyProtection="1">
      <alignment horizontal="center" vertical="center"/>
      <protection hidden="1"/>
    </xf>
    <xf numFmtId="0" fontId="14" fillId="69" borderId="4" xfId="0" applyFont="1" applyFill="1" applyBorder="1" applyAlignment="1" applyProtection="1">
      <alignment horizontal="left" vertical="center"/>
      <protection hidden="1"/>
    </xf>
    <xf numFmtId="2" fontId="14" fillId="59" borderId="4" xfId="0" applyNumberFormat="1" applyFont="1" applyFill="1" applyBorder="1" applyAlignment="1" applyProtection="1">
      <alignment horizontal="center" vertical="center"/>
      <protection hidden="1"/>
    </xf>
    <xf numFmtId="0" fontId="14" fillId="6" borderId="4" xfId="0" applyFont="1" applyFill="1" applyBorder="1" applyAlignment="1" applyProtection="1">
      <alignment horizontal="center" vertical="center"/>
      <protection hidden="1"/>
    </xf>
    <xf numFmtId="0" fontId="3" fillId="36" borderId="0" xfId="0" applyFont="1" applyFill="1" applyAlignment="1" applyProtection="1">
      <alignment horizontal="center" vertical="center" wrapText="1"/>
      <protection locked="0"/>
    </xf>
    <xf numFmtId="0" fontId="3" fillId="36" borderId="4"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4" fontId="14" fillId="0" borderId="13" xfId="0" applyNumberFormat="1" applyFont="1" applyBorder="1" applyAlignment="1" applyProtection="1">
      <alignment horizontal="left" vertical="center"/>
      <protection locked="0"/>
    </xf>
    <xf numFmtId="0" fontId="9" fillId="0" borderId="4" xfId="0" applyFont="1" applyBorder="1" applyAlignment="1" applyProtection="1">
      <alignment vertical="center" wrapText="1"/>
      <protection locked="0" hidden="1"/>
    </xf>
    <xf numFmtId="0" fontId="47" fillId="0" borderId="4" xfId="0" applyFont="1" applyBorder="1" applyAlignment="1" applyProtection="1">
      <alignment vertical="center" wrapText="1"/>
      <protection locked="0" hidden="1"/>
    </xf>
    <xf numFmtId="0" fontId="9" fillId="0" borderId="4" xfId="0" applyFont="1" applyBorder="1" applyAlignment="1">
      <alignment vertical="center" wrapText="1"/>
    </xf>
    <xf numFmtId="0" fontId="35" fillId="25" borderId="4" xfId="0" applyFont="1" applyFill="1" applyBorder="1" applyAlignment="1" applyProtection="1">
      <alignment horizontal="center" vertical="center"/>
      <protection hidden="1"/>
    </xf>
    <xf numFmtId="0" fontId="74" fillId="25" borderId="14" xfId="0" applyFont="1" applyFill="1" applyBorder="1" applyAlignment="1" applyProtection="1">
      <alignment horizontal="center" vertical="center" wrapText="1"/>
      <protection hidden="1"/>
    </xf>
    <xf numFmtId="0" fontId="35" fillId="25" borderId="14" xfId="0" applyFont="1" applyFill="1" applyBorder="1" applyAlignment="1" applyProtection="1">
      <alignment horizontal="center" vertical="center" wrapText="1"/>
      <protection hidden="1"/>
    </xf>
    <xf numFmtId="0" fontId="74" fillId="51" borderId="14" xfId="0" applyFont="1" applyFill="1" applyBorder="1" applyAlignment="1" applyProtection="1">
      <alignment horizontal="center" vertical="center" wrapText="1"/>
      <protection hidden="1"/>
    </xf>
    <xf numFmtId="3" fontId="47" fillId="0" borderId="4" xfId="0" applyNumberFormat="1" applyFont="1" applyBorder="1" applyAlignment="1" applyProtection="1">
      <alignment vertical="center"/>
      <protection hidden="1"/>
    </xf>
    <xf numFmtId="0" fontId="25" fillId="5" borderId="51" xfId="5" applyFont="1" applyFill="1" applyBorder="1" applyAlignment="1" applyProtection="1">
      <alignment horizontal="center" vertical="center" wrapText="1"/>
      <protection hidden="1"/>
    </xf>
    <xf numFmtId="0" fontId="9" fillId="12" borderId="4" xfId="8" applyFont="1" applyFill="1" applyBorder="1" applyAlignment="1" applyProtection="1">
      <alignment vertical="center" wrapText="1"/>
    </xf>
    <xf numFmtId="14" fontId="20" fillId="0" borderId="0" xfId="5" applyNumberFormat="1" applyFont="1" applyAlignment="1" applyProtection="1">
      <alignment horizontal="center" vertical="center"/>
      <protection locked="0"/>
    </xf>
    <xf numFmtId="0" fontId="29" fillId="0" borderId="125" xfId="5" applyFont="1" applyBorder="1" applyAlignment="1">
      <alignment vertical="center"/>
    </xf>
    <xf numFmtId="0" fontId="29" fillId="0" borderId="2" xfId="5" applyFont="1" applyBorder="1" applyAlignment="1">
      <alignment vertical="center"/>
    </xf>
    <xf numFmtId="0" fontId="29" fillId="0" borderId="0" xfId="5" applyFont="1" applyAlignment="1">
      <alignment vertical="center"/>
    </xf>
    <xf numFmtId="14" fontId="14" fillId="0" borderId="0" xfId="0" applyNumberFormat="1" applyFont="1" applyAlignment="1" applyProtection="1">
      <alignment horizontal="left" vertical="center"/>
      <protection locked="0"/>
    </xf>
    <xf numFmtId="170" fontId="28" fillId="15" borderId="129" xfId="7" applyNumberFormat="1" applyFont="1" applyFill="1" applyBorder="1" applyAlignment="1" applyProtection="1">
      <alignment horizontal="center" vertical="center" wrapText="1"/>
      <protection hidden="1"/>
    </xf>
    <xf numFmtId="0" fontId="65" fillId="29" borderId="124" xfId="34" applyFont="1" applyFill="1" applyBorder="1" applyAlignment="1" applyProtection="1">
      <alignment horizontal="center" vertical="center" wrapText="1"/>
      <protection hidden="1"/>
    </xf>
    <xf numFmtId="0" fontId="65" fillId="29" borderId="128" xfId="34" applyFont="1" applyFill="1" applyBorder="1" applyAlignment="1" applyProtection="1">
      <alignment horizontal="center" vertical="center" wrapText="1"/>
      <protection hidden="1"/>
    </xf>
    <xf numFmtId="170" fontId="65" fillId="65" borderId="130" xfId="5" applyNumberFormat="1" applyFont="1" applyFill="1" applyBorder="1" applyAlignment="1" applyProtection="1">
      <alignment horizontal="center" vertical="center" wrapText="1"/>
      <protection hidden="1"/>
    </xf>
    <xf numFmtId="170" fontId="65" fillId="36" borderId="164" xfId="7" applyNumberFormat="1" applyFont="1" applyFill="1" applyBorder="1" applyAlignment="1" applyProtection="1">
      <alignment horizontal="center" vertical="center" wrapText="1"/>
      <protection hidden="1"/>
    </xf>
    <xf numFmtId="0" fontId="0" fillId="64" borderId="14" xfId="0" applyFill="1" applyBorder="1" applyAlignment="1">
      <alignment horizontal="center" vertical="center"/>
    </xf>
    <xf numFmtId="0" fontId="0" fillId="64" borderId="31" xfId="0" applyFill="1" applyBorder="1" applyAlignment="1">
      <alignment horizontal="center" vertical="center"/>
    </xf>
    <xf numFmtId="170" fontId="62" fillId="64" borderId="4" xfId="2" applyNumberFormat="1" applyFont="1" applyFill="1" applyBorder="1" applyAlignment="1">
      <alignment horizontal="center" vertical="center"/>
    </xf>
    <xf numFmtId="0" fontId="18" fillId="64" borderId="9" xfId="0" applyFont="1" applyFill="1" applyBorder="1" applyAlignment="1">
      <alignment horizontal="left" vertical="center"/>
    </xf>
    <xf numFmtId="0" fontId="18" fillId="64" borderId="4" xfId="0" applyFont="1" applyFill="1" applyBorder="1" applyAlignment="1">
      <alignment horizontal="left" vertical="center"/>
    </xf>
    <xf numFmtId="2" fontId="183" fillId="21" borderId="4" xfId="0" applyNumberFormat="1" applyFont="1" applyFill="1" applyBorder="1" applyAlignment="1">
      <alignment horizontal="center" vertical="center"/>
    </xf>
    <xf numFmtId="0" fontId="0" fillId="21" borderId="4" xfId="0" applyFill="1" applyBorder="1" applyAlignment="1">
      <alignment horizontal="left" vertical="center"/>
    </xf>
    <xf numFmtId="2" fontId="62" fillId="20" borderId="4" xfId="0" applyNumberFormat="1" applyFont="1" applyFill="1" applyBorder="1" applyAlignment="1">
      <alignment horizontal="center" vertical="center"/>
    </xf>
    <xf numFmtId="0" fontId="0" fillId="20" borderId="4" xfId="0" applyFill="1" applyBorder="1" applyAlignment="1">
      <alignment horizontal="left" vertical="center"/>
    </xf>
    <xf numFmtId="2" fontId="62" fillId="65" borderId="158" xfId="0" applyNumberFormat="1" applyFont="1" applyFill="1" applyBorder="1" applyAlignment="1">
      <alignment horizontal="center" vertical="center"/>
    </xf>
    <xf numFmtId="0" fontId="0" fillId="65" borderId="4" xfId="0" applyFill="1" applyBorder="1" applyAlignment="1">
      <alignment horizontal="left" vertical="center"/>
    </xf>
    <xf numFmtId="9" fontId="28" fillId="5" borderId="12" xfId="2" applyFont="1" applyFill="1" applyBorder="1" applyAlignment="1" applyProtection="1">
      <alignment horizontal="center" vertical="center"/>
      <protection locked="0"/>
    </xf>
    <xf numFmtId="0" fontId="59" fillId="0" borderId="0" xfId="0" applyFont="1" applyAlignment="1">
      <alignment vertical="center"/>
    </xf>
    <xf numFmtId="0" fontId="0" fillId="64" borderId="35" xfId="0" applyFill="1" applyBorder="1" applyAlignment="1">
      <alignment horizontal="center" vertical="center"/>
    </xf>
    <xf numFmtId="2" fontId="62" fillId="64" borderId="21" xfId="0" applyNumberFormat="1" applyFont="1" applyFill="1" applyBorder="1" applyAlignment="1">
      <alignment horizontal="center" vertical="center"/>
    </xf>
    <xf numFmtId="2" fontId="62" fillId="64" borderId="4" xfId="0" applyNumberFormat="1" applyFont="1" applyFill="1" applyBorder="1" applyAlignment="1">
      <alignment horizontal="center" vertical="center"/>
    </xf>
    <xf numFmtId="2" fontId="183" fillId="21" borderId="21" xfId="0" applyNumberFormat="1" applyFont="1" applyFill="1" applyBorder="1" applyAlignment="1">
      <alignment horizontal="center" vertical="center" wrapText="1"/>
    </xf>
    <xf numFmtId="2" fontId="183" fillId="21" borderId="4" xfId="0" applyNumberFormat="1" applyFont="1" applyFill="1" applyBorder="1" applyAlignment="1">
      <alignment horizontal="center" vertical="center" wrapText="1"/>
    </xf>
    <xf numFmtId="2" fontId="62" fillId="20" borderId="21" xfId="0" applyNumberFormat="1" applyFont="1" applyFill="1" applyBorder="1" applyAlignment="1">
      <alignment horizontal="center" vertical="center"/>
    </xf>
    <xf numFmtId="2" fontId="62" fillId="65" borderId="157" xfId="0" applyNumberFormat="1" applyFont="1" applyFill="1" applyBorder="1" applyAlignment="1">
      <alignment horizontal="center" vertical="center"/>
    </xf>
    <xf numFmtId="0" fontId="110" fillId="14" borderId="9" xfId="34" applyFont="1" applyFill="1" applyBorder="1" applyAlignment="1" applyProtection="1">
      <alignment horizontal="center" vertical="center"/>
      <protection hidden="1"/>
    </xf>
    <xf numFmtId="10" fontId="110" fillId="14" borderId="156" xfId="34" applyNumberFormat="1" applyFont="1" applyFill="1" applyBorder="1" applyAlignment="1" applyProtection="1">
      <alignment horizontal="center" vertical="center"/>
      <protection hidden="1"/>
    </xf>
    <xf numFmtId="0" fontId="110" fillId="59" borderId="99" xfId="5" applyFont="1" applyFill="1" applyBorder="1" applyAlignment="1" applyProtection="1">
      <alignment vertical="center" wrapText="1"/>
      <protection hidden="1"/>
    </xf>
    <xf numFmtId="0" fontId="110" fillId="59" borderId="103" xfId="5" applyFont="1" applyFill="1" applyBorder="1" applyAlignment="1" applyProtection="1">
      <alignment vertical="center" wrapText="1"/>
      <protection hidden="1"/>
    </xf>
    <xf numFmtId="0" fontId="14" fillId="0" borderId="0" xfId="0" applyFont="1" applyAlignment="1" applyProtection="1">
      <alignment horizontal="left" vertical="center"/>
      <protection hidden="1"/>
    </xf>
    <xf numFmtId="14" fontId="27" fillId="0" borderId="33" xfId="0" applyNumberFormat="1" applyFont="1" applyBorder="1" applyAlignment="1" applyProtection="1">
      <alignment horizontal="left"/>
      <protection locked="0"/>
    </xf>
    <xf numFmtId="170" fontId="23" fillId="0" borderId="0" xfId="7" applyNumberFormat="1" applyFont="1" applyAlignment="1" applyProtection="1">
      <alignment vertical="center"/>
    </xf>
    <xf numFmtId="0" fontId="12" fillId="7" borderId="10" xfId="5" applyFont="1" applyFill="1" applyBorder="1" applyAlignment="1">
      <alignment horizontal="center" vertical="center" wrapText="1"/>
    </xf>
    <xf numFmtId="0" fontId="12" fillId="7" borderId="11" xfId="5" applyFont="1" applyFill="1" applyBorder="1" applyAlignment="1">
      <alignment horizontal="center" vertical="center" wrapText="1"/>
    </xf>
    <xf numFmtId="0" fontId="45" fillId="17" borderId="12" xfId="0" applyFont="1" applyFill="1" applyBorder="1" applyAlignment="1">
      <alignment horizontal="center" vertical="center" wrapText="1"/>
    </xf>
    <xf numFmtId="10" fontId="13" fillId="0" borderId="4" xfId="2" applyNumberFormat="1" applyFont="1" applyBorder="1" applyAlignment="1" applyProtection="1">
      <alignment horizontal="center" vertical="center"/>
      <protection hidden="1"/>
    </xf>
    <xf numFmtId="167" fontId="27" fillId="0" borderId="0" xfId="4" applyNumberFormat="1" applyFont="1" applyAlignment="1" applyProtection="1">
      <alignment horizontal="center" vertical="center" wrapText="1"/>
      <protection locked="0"/>
    </xf>
    <xf numFmtId="167" fontId="27" fillId="0" borderId="0" xfId="4" applyNumberFormat="1" applyFont="1" applyAlignment="1" applyProtection="1">
      <alignment vertical="center" wrapText="1"/>
      <protection locked="0"/>
    </xf>
    <xf numFmtId="9" fontId="27" fillId="0" borderId="0" xfId="2" applyFont="1" applyAlignment="1" applyProtection="1">
      <alignment vertical="center"/>
      <protection locked="0"/>
    </xf>
    <xf numFmtId="165" fontId="13" fillId="0" borderId="0" xfId="1" applyFont="1" applyAlignment="1" applyProtection="1">
      <alignment vertical="center"/>
      <protection locked="0"/>
    </xf>
    <xf numFmtId="0" fontId="13" fillId="0" borderId="0" xfId="5" applyFont="1" applyAlignment="1">
      <alignment vertical="center"/>
    </xf>
    <xf numFmtId="167" fontId="27" fillId="16" borderId="4" xfId="4" applyNumberFormat="1" applyFont="1" applyFill="1" applyBorder="1" applyAlignment="1" applyProtection="1">
      <alignment vertical="center"/>
    </xf>
    <xf numFmtId="167" fontId="27" fillId="13" borderId="0" xfId="4" applyNumberFormat="1" applyFont="1" applyFill="1" applyAlignment="1" applyProtection="1">
      <alignment horizontal="center" vertical="center"/>
    </xf>
    <xf numFmtId="167" fontId="28" fillId="32" borderId="4" xfId="4" applyNumberFormat="1" applyFont="1" applyFill="1" applyBorder="1" applyAlignment="1" applyProtection="1">
      <alignment horizontal="center" vertical="center"/>
    </xf>
    <xf numFmtId="167" fontId="27" fillId="16" borderId="4" xfId="4" applyNumberFormat="1" applyFont="1" applyFill="1" applyBorder="1" applyAlignment="1" applyProtection="1">
      <alignment horizontal="center" vertical="center"/>
    </xf>
    <xf numFmtId="9" fontId="27" fillId="16" borderId="4" xfId="2" applyFont="1" applyFill="1" applyBorder="1" applyAlignment="1" applyProtection="1">
      <alignment horizontal="center" vertical="center"/>
    </xf>
    <xf numFmtId="167" fontId="27" fillId="0" borderId="4" xfId="4" applyNumberFormat="1" applyFont="1" applyBorder="1" applyAlignment="1" applyProtection="1">
      <alignment horizontal="center" vertical="center"/>
    </xf>
    <xf numFmtId="0" fontId="47" fillId="30" borderId="4" xfId="0" applyFont="1" applyFill="1" applyBorder="1" applyAlignment="1">
      <alignment horizontal="center" vertical="center"/>
    </xf>
    <xf numFmtId="0" fontId="47" fillId="20" borderId="4" xfId="0" applyFont="1" applyFill="1" applyBorder="1" applyAlignment="1">
      <alignment horizontal="center" vertical="center"/>
    </xf>
    <xf numFmtId="0" fontId="52" fillId="21" borderId="4" xfId="0" applyFont="1" applyFill="1" applyBorder="1" applyAlignment="1">
      <alignment horizontal="center" vertical="center"/>
    </xf>
    <xf numFmtId="167" fontId="27" fillId="31" borderId="4" xfId="4" applyNumberFormat="1" applyFont="1" applyFill="1" applyBorder="1" applyAlignment="1" applyProtection="1">
      <alignment horizontal="center" vertical="center"/>
    </xf>
    <xf numFmtId="9" fontId="27" fillId="0" borderId="4" xfId="2" applyFont="1" applyBorder="1" applyAlignment="1" applyProtection="1">
      <alignment horizontal="center" vertical="center"/>
    </xf>
    <xf numFmtId="9" fontId="27" fillId="30" borderId="4" xfId="2" applyFont="1" applyFill="1" applyBorder="1" applyAlignment="1" applyProtection="1">
      <alignment horizontal="center" vertical="center"/>
    </xf>
    <xf numFmtId="9" fontId="14" fillId="30" borderId="4" xfId="0" applyNumberFormat="1" applyFont="1" applyFill="1" applyBorder="1" applyAlignment="1">
      <alignment horizontal="center" vertical="center"/>
    </xf>
    <xf numFmtId="9" fontId="14" fillId="20" borderId="4" xfId="0" applyNumberFormat="1" applyFont="1" applyFill="1" applyBorder="1" applyAlignment="1">
      <alignment horizontal="center" vertical="center"/>
    </xf>
    <xf numFmtId="9" fontId="27" fillId="20" borderId="4" xfId="2" applyFont="1" applyFill="1" applyBorder="1" applyAlignment="1" applyProtection="1">
      <alignment horizontal="center" vertical="center"/>
    </xf>
    <xf numFmtId="9" fontId="41" fillId="21" borderId="4" xfId="0" applyNumberFormat="1" applyFont="1" applyFill="1" applyBorder="1" applyAlignment="1">
      <alignment horizontal="center" vertical="center"/>
    </xf>
    <xf numFmtId="9" fontId="41" fillId="21" borderId="4" xfId="2" applyFont="1" applyFill="1" applyBorder="1" applyAlignment="1" applyProtection="1">
      <alignment horizontal="center" vertical="center"/>
    </xf>
    <xf numFmtId="167" fontId="27" fillId="5" borderId="4" xfId="4" applyNumberFormat="1" applyFont="1" applyFill="1" applyBorder="1" applyAlignment="1" applyProtection="1">
      <alignment horizontal="center" vertical="center"/>
    </xf>
    <xf numFmtId="10" fontId="27" fillId="30" borderId="4" xfId="2" applyNumberFormat="1" applyFont="1" applyFill="1" applyBorder="1" applyAlignment="1" applyProtection="1">
      <alignment horizontal="center" vertical="center"/>
    </xf>
    <xf numFmtId="10" fontId="14" fillId="20" borderId="4" xfId="0" applyNumberFormat="1" applyFont="1" applyFill="1" applyBorder="1" applyAlignment="1">
      <alignment horizontal="center" vertical="center"/>
    </xf>
    <xf numFmtId="10" fontId="41" fillId="21" borderId="4" xfId="0" applyNumberFormat="1" applyFont="1" applyFill="1" applyBorder="1" applyAlignment="1">
      <alignment horizontal="center" vertical="center"/>
    </xf>
    <xf numFmtId="0" fontId="9" fillId="0" borderId="0" xfId="5" applyFont="1" applyAlignment="1">
      <alignment vertical="center"/>
    </xf>
    <xf numFmtId="0" fontId="30" fillId="0" borderId="5" xfId="9" applyFont="1" applyBorder="1" applyAlignment="1">
      <alignment horizontal="center" vertical="center" wrapText="1"/>
    </xf>
    <xf numFmtId="0" fontId="30" fillId="0" borderId="3" xfId="9" applyFont="1" applyBorder="1" applyAlignment="1">
      <alignment horizontal="center" vertical="center" wrapText="1"/>
    </xf>
    <xf numFmtId="0" fontId="30" fillId="0" borderId="2" xfId="9" applyFont="1" applyBorder="1" applyAlignment="1">
      <alignment horizontal="center" vertical="center" wrapText="1"/>
    </xf>
    <xf numFmtId="0" fontId="33" fillId="0" borderId="3" xfId="9" applyFont="1" applyBorder="1" applyAlignment="1">
      <alignment horizontal="justify" vertical="center" wrapText="1"/>
    </xf>
    <xf numFmtId="9" fontId="54" fillId="0" borderId="3" xfId="9" applyNumberFormat="1" applyFont="1" applyBorder="1" applyAlignment="1">
      <alignment horizontal="center" vertical="center" wrapText="1"/>
    </xf>
    <xf numFmtId="171" fontId="10" fillId="0" borderId="0" xfId="7" applyNumberFormat="1" applyFont="1" applyAlignment="1" applyProtection="1">
      <alignment vertical="center"/>
    </xf>
    <xf numFmtId="170" fontId="10" fillId="0" borderId="0" xfId="7" applyNumberFormat="1" applyFont="1" applyAlignment="1" applyProtection="1">
      <alignment vertical="center"/>
    </xf>
    <xf numFmtId="0" fontId="33" fillId="0" borderId="26" xfId="9" applyFont="1" applyBorder="1" applyAlignment="1">
      <alignment horizontal="justify" vertical="center" wrapText="1"/>
    </xf>
    <xf numFmtId="9" fontId="54" fillId="0" borderId="26" xfId="9" applyNumberFormat="1" applyFont="1" applyBorder="1" applyAlignment="1">
      <alignment horizontal="center" vertical="center" wrapText="1"/>
    </xf>
    <xf numFmtId="167" fontId="27" fillId="0" borderId="0" xfId="4" applyNumberFormat="1" applyFont="1" applyBorder="1" applyAlignment="1" applyProtection="1">
      <alignment horizontal="center" vertical="center"/>
      <protection locked="0"/>
    </xf>
    <xf numFmtId="0" fontId="9" fillId="8" borderId="167" xfId="8" applyFont="1" applyFill="1" applyBorder="1" applyAlignment="1" applyProtection="1">
      <alignment horizontal="left" vertical="center" wrapText="1"/>
    </xf>
    <xf numFmtId="0" fontId="47" fillId="8" borderId="165" xfId="0" applyFont="1" applyFill="1" applyBorder="1" applyAlignment="1">
      <alignment horizontal="left" vertical="center" wrapText="1"/>
    </xf>
    <xf numFmtId="0" fontId="9" fillId="8" borderId="167" xfId="8" applyFont="1" applyFill="1" applyBorder="1" applyAlignment="1" applyProtection="1">
      <alignment vertical="center" wrapText="1"/>
    </xf>
    <xf numFmtId="0" fontId="9" fillId="6" borderId="165" xfId="8" applyFont="1" applyFill="1" applyBorder="1" applyAlignment="1" applyProtection="1">
      <alignment horizontal="justify" vertical="center" wrapText="1"/>
      <protection locked="0"/>
    </xf>
    <xf numFmtId="0" fontId="53" fillId="13" borderId="169" xfId="10" applyFont="1" applyFill="1" applyBorder="1" applyAlignment="1">
      <alignment vertical="center" wrapText="1"/>
    </xf>
    <xf numFmtId="9" fontId="14" fillId="13" borderId="0" xfId="2" applyFont="1" applyFill="1"/>
    <xf numFmtId="9" fontId="19" fillId="13" borderId="0" xfId="2" applyFont="1" applyFill="1" applyBorder="1" applyAlignment="1">
      <alignment wrapText="1"/>
    </xf>
    <xf numFmtId="9" fontId="14" fillId="0" borderId="0" xfId="2" applyFont="1" applyProtection="1">
      <protection hidden="1"/>
    </xf>
    <xf numFmtId="167" fontId="13" fillId="7" borderId="17" xfId="4" applyNumberFormat="1" applyFont="1" applyFill="1" applyBorder="1" applyAlignment="1" applyProtection="1">
      <alignment horizontal="center" vertical="center" wrapText="1"/>
      <protection locked="0"/>
    </xf>
    <xf numFmtId="10" fontId="13" fillId="6" borderId="17" xfId="7" applyNumberFormat="1" applyFont="1" applyFill="1" applyBorder="1" applyAlignment="1" applyProtection="1">
      <alignment horizontal="center" vertical="center" wrapText="1"/>
      <protection hidden="1"/>
    </xf>
    <xf numFmtId="0" fontId="28" fillId="7" borderId="139" xfId="4" applyNumberFormat="1" applyFont="1" applyFill="1" applyBorder="1" applyAlignment="1" applyProtection="1">
      <alignment horizontal="center" vertical="center" wrapText="1"/>
    </xf>
    <xf numFmtId="44" fontId="14" fillId="13" borderId="0" xfId="0" applyNumberFormat="1" applyFont="1" applyFill="1"/>
    <xf numFmtId="0" fontId="74" fillId="4" borderId="19" xfId="3" applyFont="1" applyFill="1" applyBorder="1" applyAlignment="1" applyProtection="1">
      <alignment horizontal="left" vertical="center" wrapText="1"/>
      <protection hidden="1"/>
    </xf>
    <xf numFmtId="49" fontId="28" fillId="6" borderId="19" xfId="5" applyNumberFormat="1" applyFont="1" applyFill="1" applyBorder="1" applyAlignment="1">
      <alignment vertical="center" wrapText="1"/>
    </xf>
    <xf numFmtId="49" fontId="28" fillId="6" borderId="49" xfId="5" applyNumberFormat="1" applyFont="1" applyFill="1" applyBorder="1" applyAlignment="1">
      <alignment horizontal="left" vertical="center" wrapText="1"/>
    </xf>
    <xf numFmtId="49" fontId="28" fillId="6" borderId="16" xfId="5" applyNumberFormat="1" applyFont="1" applyFill="1" applyBorder="1" applyAlignment="1">
      <alignment horizontal="left" vertical="center" wrapText="1"/>
    </xf>
    <xf numFmtId="49" fontId="28" fillId="6" borderId="21" xfId="5" applyNumberFormat="1" applyFont="1" applyFill="1" applyBorder="1" applyAlignment="1">
      <alignment horizontal="left" vertical="center" wrapText="1"/>
    </xf>
    <xf numFmtId="49" fontId="28" fillId="6" borderId="18" xfId="5" applyNumberFormat="1" applyFont="1" applyFill="1" applyBorder="1" applyAlignment="1">
      <alignment horizontal="left" vertical="center" wrapText="1"/>
    </xf>
    <xf numFmtId="164" fontId="25" fillId="0" borderId="63" xfId="14" applyFont="1" applyFill="1" applyBorder="1" applyAlignment="1" applyProtection="1">
      <alignment horizontal="center" vertical="center"/>
    </xf>
    <xf numFmtId="167" fontId="11" fillId="25" borderId="124" xfId="4" applyNumberFormat="1" applyFont="1" applyFill="1" applyBorder="1" applyAlignment="1" applyProtection="1">
      <alignment horizontal="center" vertical="center"/>
      <protection hidden="1"/>
    </xf>
    <xf numFmtId="167" fontId="11" fillId="25" borderId="128" xfId="4" applyNumberFormat="1" applyFont="1" applyFill="1" applyBorder="1" applyAlignment="1" applyProtection="1">
      <alignment horizontal="center" vertical="center"/>
      <protection hidden="1"/>
    </xf>
    <xf numFmtId="167" fontId="11" fillId="25" borderId="164" xfId="4" applyNumberFormat="1" applyFont="1" applyFill="1" applyBorder="1" applyAlignment="1" applyProtection="1">
      <alignment horizontal="center" vertical="center"/>
      <protection hidden="1"/>
    </xf>
    <xf numFmtId="167" fontId="184" fillId="12" borderId="19" xfId="4" applyNumberFormat="1" applyFont="1" applyFill="1" applyBorder="1" applyAlignment="1" applyProtection="1">
      <alignment horizontal="center" vertical="center"/>
      <protection hidden="1"/>
    </xf>
    <xf numFmtId="10" fontId="11" fillId="25" borderId="170" xfId="2" applyNumberFormat="1" applyFont="1" applyFill="1" applyBorder="1" applyAlignment="1" applyProtection="1">
      <alignment horizontal="center" vertical="center"/>
      <protection hidden="1"/>
    </xf>
    <xf numFmtId="10" fontId="11" fillId="25" borderId="86" xfId="2" applyNumberFormat="1" applyFont="1" applyFill="1" applyBorder="1" applyAlignment="1" applyProtection="1">
      <alignment horizontal="center" vertical="center"/>
      <protection hidden="1"/>
    </xf>
    <xf numFmtId="10" fontId="11" fillId="25" borderId="166" xfId="2" applyNumberFormat="1" applyFont="1" applyFill="1" applyBorder="1" applyAlignment="1" applyProtection="1">
      <alignment horizontal="center" vertical="center"/>
      <protection hidden="1"/>
    </xf>
    <xf numFmtId="170" fontId="17" fillId="5" borderId="5" xfId="2" applyNumberFormat="1" applyFont="1" applyFill="1" applyBorder="1" applyAlignment="1" applyProtection="1">
      <alignment horizontal="center" vertical="center"/>
      <protection hidden="1"/>
    </xf>
    <xf numFmtId="167" fontId="11" fillId="26" borderId="124" xfId="4" applyNumberFormat="1" applyFont="1" applyFill="1" applyBorder="1" applyAlignment="1" applyProtection="1">
      <alignment horizontal="center" vertical="center"/>
      <protection hidden="1"/>
    </xf>
    <xf numFmtId="0" fontId="11" fillId="25" borderId="164" xfId="5" applyFont="1" applyFill="1" applyBorder="1" applyAlignment="1" applyProtection="1">
      <alignment horizontal="center" vertical="center"/>
      <protection hidden="1"/>
    </xf>
    <xf numFmtId="167" fontId="17" fillId="10" borderId="19" xfId="4" applyNumberFormat="1" applyFont="1" applyFill="1" applyBorder="1" applyAlignment="1" applyProtection="1">
      <alignment horizontal="center" vertical="center" wrapText="1"/>
      <protection hidden="1"/>
    </xf>
    <xf numFmtId="0" fontId="74" fillId="4" borderId="124" xfId="3" applyFont="1" applyFill="1" applyBorder="1" applyAlignment="1" applyProtection="1">
      <alignment horizontal="left" vertical="center" wrapText="1"/>
      <protection hidden="1"/>
    </xf>
    <xf numFmtId="0" fontId="74" fillId="4" borderId="128" xfId="3" applyFont="1" applyFill="1" applyBorder="1" applyAlignment="1" applyProtection="1">
      <alignment horizontal="left" vertical="center" wrapText="1"/>
      <protection hidden="1"/>
    </xf>
    <xf numFmtId="0" fontId="74" fillId="4" borderId="130" xfId="3" applyFont="1" applyFill="1" applyBorder="1" applyAlignment="1" applyProtection="1">
      <alignment horizontal="left" vertical="center" wrapText="1"/>
      <protection hidden="1"/>
    </xf>
    <xf numFmtId="184" fontId="25" fillId="0" borderId="4" xfId="27" applyNumberFormat="1" applyFont="1" applyBorder="1" applyAlignment="1" applyProtection="1">
      <alignment horizontal="right" vertical="center" wrapText="1"/>
    </xf>
    <xf numFmtId="0" fontId="47" fillId="0" borderId="4" xfId="0" applyFont="1" applyBorder="1" applyAlignment="1">
      <alignment vertical="center" wrapText="1"/>
    </xf>
    <xf numFmtId="10" fontId="35" fillId="36" borderId="4" xfId="0" applyNumberFormat="1" applyFont="1" applyFill="1" applyBorder="1" applyAlignment="1" applyProtection="1">
      <alignment horizontal="center" vertical="center"/>
      <protection locked="0" hidden="1"/>
    </xf>
    <xf numFmtId="0" fontId="47" fillId="0" borderId="4" xfId="0" applyFont="1" applyBorder="1" applyAlignment="1" applyProtection="1">
      <alignment horizontal="left" vertical="center" wrapText="1"/>
      <protection hidden="1"/>
    </xf>
    <xf numFmtId="0" fontId="165" fillId="0" borderId="0" xfId="5" applyFont="1" applyAlignment="1" applyProtection="1">
      <alignment horizontal="center"/>
      <protection locked="0"/>
    </xf>
    <xf numFmtId="0" fontId="47" fillId="0" borderId="0" xfId="5" applyFont="1" applyAlignment="1" applyProtection="1">
      <alignment horizontal="center"/>
      <protection locked="0"/>
    </xf>
    <xf numFmtId="0" fontId="20" fillId="0" borderId="0" xfId="5" applyFont="1" applyAlignment="1" applyProtection="1">
      <alignment horizontal="center" vertical="center"/>
      <protection locked="0"/>
    </xf>
    <xf numFmtId="170" fontId="65" fillId="65" borderId="128" xfId="5" applyNumberFormat="1" applyFont="1" applyFill="1" applyBorder="1" applyAlignment="1" applyProtection="1">
      <alignment horizontal="center" vertical="center" wrapText="1"/>
      <protection hidden="1"/>
    </xf>
    <xf numFmtId="0" fontId="35" fillId="0" borderId="14" xfId="0" applyFont="1" applyBorder="1" applyAlignment="1" applyProtection="1">
      <alignment horizontal="center" vertical="center" wrapText="1"/>
      <protection hidden="1"/>
    </xf>
    <xf numFmtId="0" fontId="35" fillId="0" borderId="0" xfId="0" applyFont="1" applyAlignment="1" applyProtection="1">
      <alignment horizontal="center" vertical="center"/>
      <protection hidden="1"/>
    </xf>
    <xf numFmtId="0" fontId="35" fillId="0" borderId="4" xfId="0" applyFont="1" applyBorder="1" applyAlignment="1" applyProtection="1">
      <alignment horizontal="center" vertical="center"/>
      <protection hidden="1"/>
    </xf>
    <xf numFmtId="0" fontId="14" fillId="0" borderId="33" xfId="0" applyFont="1" applyBorder="1" applyAlignment="1" applyProtection="1">
      <alignment horizontal="left" vertical="center"/>
      <protection locked="0"/>
    </xf>
    <xf numFmtId="179" fontId="0" fillId="9" borderId="4" xfId="0" applyNumberFormat="1" applyFill="1" applyBorder="1" applyAlignment="1" applyProtection="1">
      <alignment horizontal="left" vertical="center"/>
      <protection locked="0"/>
    </xf>
    <xf numFmtId="0" fontId="19"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0" fontId="14" fillId="13" borderId="22" xfId="0" applyFont="1" applyFill="1" applyBorder="1" applyAlignment="1" applyProtection="1">
      <alignment horizontal="left" vertical="top"/>
      <protection locked="0"/>
    </xf>
    <xf numFmtId="0" fontId="14" fillId="13" borderId="4" xfId="0" applyFont="1" applyFill="1" applyBorder="1" applyAlignment="1" applyProtection="1">
      <alignment horizontal="left" vertical="top"/>
      <protection locked="0"/>
    </xf>
    <xf numFmtId="0" fontId="14" fillId="0" borderId="0" xfId="0" applyFont="1" applyAlignment="1" applyProtection="1">
      <alignment horizontal="left" wrapText="1"/>
      <protection hidden="1"/>
    </xf>
    <xf numFmtId="0" fontId="14" fillId="0" borderId="0" xfId="0" applyFont="1" applyBorder="1" applyAlignment="1">
      <alignment vertical="center"/>
    </xf>
    <xf numFmtId="0" fontId="14" fillId="0" borderId="0" xfId="0" applyFont="1" applyAlignment="1">
      <alignment horizontal="left" vertical="center" wrapText="1"/>
    </xf>
    <xf numFmtId="0" fontId="66" fillId="0" borderId="0" xfId="0" applyFont="1" applyProtection="1">
      <protection locked="0"/>
    </xf>
    <xf numFmtId="0" fontId="66" fillId="0" borderId="13" xfId="0" applyFont="1" applyBorder="1" applyProtection="1">
      <protection locked="0"/>
    </xf>
    <xf numFmtId="9" fontId="66" fillId="0" borderId="0" xfId="2" applyFont="1" applyProtection="1">
      <protection locked="0"/>
    </xf>
    <xf numFmtId="9" fontId="35" fillId="65" borderId="128" xfId="0" applyNumberFormat="1" applyFont="1" applyFill="1" applyBorder="1" applyAlignment="1" applyProtection="1">
      <alignment horizontal="center" vertical="center" wrapText="1"/>
      <protection hidden="1"/>
    </xf>
    <xf numFmtId="0" fontId="35" fillId="0" borderId="128" xfId="0" applyFont="1" applyBorder="1" applyAlignment="1" applyProtection="1">
      <alignment horizontal="center" vertical="center" wrapText="1"/>
      <protection hidden="1"/>
    </xf>
    <xf numFmtId="0" fontId="166" fillId="0" borderId="0" xfId="5" applyFont="1" applyAlignment="1" applyProtection="1">
      <alignment horizontal="left" vertical="center" wrapText="1"/>
      <protection locked="0"/>
    </xf>
    <xf numFmtId="0" fontId="51" fillId="0" borderId="0" xfId="5" applyFont="1" applyAlignment="1" applyProtection="1">
      <alignment horizontal="center" vertical="center"/>
      <protection locked="0"/>
    </xf>
    <xf numFmtId="0" fontId="14" fillId="0" borderId="0" xfId="5" applyFont="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14" fillId="0" borderId="4" xfId="0" applyFont="1" applyBorder="1" applyAlignment="1" applyProtection="1">
      <alignment vertical="center" wrapText="1"/>
      <protection locked="0"/>
    </xf>
    <xf numFmtId="0" fontId="19" fillId="0" borderId="0" xfId="5" applyFont="1" applyAlignment="1" applyProtection="1">
      <alignment horizontal="right" vertical="center"/>
      <protection locked="0"/>
    </xf>
    <xf numFmtId="0" fontId="20" fillId="0" borderId="0" xfId="5" applyFont="1" applyAlignment="1" applyProtection="1">
      <alignment horizontal="right" vertical="center"/>
      <protection locked="0"/>
    </xf>
    <xf numFmtId="0" fontId="20" fillId="0" borderId="0" xfId="5" applyFont="1" applyAlignment="1" applyProtection="1">
      <alignment horizontal="right"/>
      <protection locked="0"/>
    </xf>
    <xf numFmtId="0" fontId="165" fillId="0" borderId="0" xfId="5" applyFont="1" applyAlignment="1" applyProtection="1">
      <alignment horizontal="right" vertical="center"/>
      <protection locked="0"/>
    </xf>
    <xf numFmtId="0" fontId="165" fillId="0" borderId="0" xfId="5" applyFont="1" applyAlignment="1" applyProtection="1">
      <alignment horizontal="right"/>
      <protection locked="0"/>
    </xf>
    <xf numFmtId="0" fontId="62" fillId="0" borderId="0" xfId="0" applyFont="1" applyProtection="1">
      <protection locked="0"/>
    </xf>
    <xf numFmtId="0" fontId="62" fillId="0" borderId="42" xfId="0" applyFont="1" applyBorder="1" applyProtection="1">
      <protection locked="0"/>
    </xf>
    <xf numFmtId="9" fontId="62" fillId="0" borderId="0" xfId="2" applyFont="1" applyProtection="1">
      <protection locked="0"/>
    </xf>
    <xf numFmtId="9" fontId="62" fillId="0" borderId="89" xfId="2" applyFont="1" applyBorder="1" applyProtection="1">
      <protection locked="0"/>
    </xf>
    <xf numFmtId="9" fontId="62" fillId="0" borderId="90" xfId="2" applyFont="1" applyBorder="1" applyProtection="1">
      <protection locked="0"/>
    </xf>
    <xf numFmtId="9" fontId="62" fillId="0" borderId="0" xfId="0" applyNumberFormat="1" applyFont="1" applyProtection="1">
      <protection locked="0"/>
    </xf>
    <xf numFmtId="9" fontId="62" fillId="0" borderId="91" xfId="2" applyFont="1" applyBorder="1" applyProtection="1">
      <protection locked="0"/>
    </xf>
    <xf numFmtId="0" fontId="62" fillId="0" borderId="44" xfId="0" applyFont="1" applyBorder="1" applyProtection="1">
      <protection locked="0"/>
    </xf>
    <xf numFmtId="0" fontId="62" fillId="0" borderId="89" xfId="0" applyFont="1" applyBorder="1" applyProtection="1">
      <protection locked="0"/>
    </xf>
    <xf numFmtId="0" fontId="14" fillId="0" borderId="33" xfId="0" applyFont="1" applyBorder="1" applyProtection="1">
      <protection hidden="1"/>
    </xf>
    <xf numFmtId="0" fontId="14" fillId="0" borderId="13" xfId="0" applyFont="1" applyBorder="1" applyProtection="1">
      <protection hidden="1"/>
    </xf>
    <xf numFmtId="14" fontId="14" fillId="0" borderId="33" xfId="0" applyNumberFormat="1" applyFont="1" applyBorder="1" applyAlignment="1" applyProtection="1">
      <alignment horizontal="left"/>
      <protection hidden="1"/>
    </xf>
    <xf numFmtId="14" fontId="14" fillId="0" borderId="33" xfId="0" applyNumberFormat="1" applyFont="1" applyBorder="1" applyProtection="1">
      <protection hidden="1"/>
    </xf>
    <xf numFmtId="167" fontId="14" fillId="0" borderId="13" xfId="18" applyNumberFormat="1" applyFont="1" applyBorder="1" applyAlignment="1" applyProtection="1">
      <alignment vertical="center"/>
      <protection hidden="1"/>
    </xf>
    <xf numFmtId="177" fontId="14" fillId="0" borderId="13" xfId="17" applyNumberFormat="1" applyFont="1" applyBorder="1" applyProtection="1">
      <protection hidden="1"/>
    </xf>
    <xf numFmtId="177" fontId="14" fillId="0" borderId="33" xfId="17" applyNumberFormat="1" applyFont="1" applyBorder="1" applyProtection="1">
      <protection hidden="1"/>
    </xf>
    <xf numFmtId="0" fontId="51" fillId="43" borderId="4" xfId="0" applyFont="1" applyFill="1" applyBorder="1" applyAlignment="1" applyProtection="1">
      <alignment horizontal="center" vertical="center" wrapText="1"/>
      <protection locked="0"/>
    </xf>
    <xf numFmtId="0" fontId="14" fillId="0" borderId="0" xfId="0" applyFont="1" applyAlignment="1" applyProtection="1">
      <alignment horizontal="center"/>
      <protection locked="0"/>
    </xf>
    <xf numFmtId="0" fontId="35" fillId="0" borderId="0" xfId="0" applyFont="1" applyAlignment="1" applyProtection="1">
      <alignment vertical="center" wrapText="1"/>
      <protection locked="0"/>
    </xf>
    <xf numFmtId="0" fontId="14" fillId="0" borderId="19" xfId="0" applyFont="1" applyBorder="1" applyAlignment="1" applyProtection="1">
      <alignment vertical="center"/>
      <protection locked="0"/>
    </xf>
    <xf numFmtId="177" fontId="51" fillId="43" borderId="4" xfId="17" applyNumberFormat="1" applyFont="1" applyFill="1" applyBorder="1" applyAlignment="1" applyProtection="1">
      <alignment horizontal="center" vertical="center" wrapText="1"/>
      <protection locked="0"/>
    </xf>
    <xf numFmtId="0" fontId="69" fillId="0" borderId="4" xfId="0" applyFont="1" applyBorder="1" applyAlignment="1" applyProtection="1">
      <alignment horizontal="left" vertical="center" wrapText="1"/>
      <protection locked="0"/>
    </xf>
    <xf numFmtId="177" fontId="69" fillId="0" borderId="4" xfId="17" applyNumberFormat="1" applyFont="1" applyFill="1" applyBorder="1" applyAlignment="1" applyProtection="1">
      <alignment horizontal="right" vertical="center" wrapText="1"/>
      <protection locked="0"/>
    </xf>
    <xf numFmtId="177" fontId="69" fillId="0" borderId="4" xfId="17" applyNumberFormat="1" applyFont="1" applyFill="1" applyBorder="1" applyAlignment="1" applyProtection="1">
      <alignment horizontal="right" vertical="center"/>
      <protection locked="0"/>
    </xf>
    <xf numFmtId="10" fontId="69" fillId="0" borderId="4" xfId="2" applyNumberFormat="1" applyFont="1" applyFill="1" applyBorder="1" applyAlignment="1" applyProtection="1">
      <alignment horizontal="right" vertical="center"/>
      <protection locked="0"/>
    </xf>
    <xf numFmtId="0" fontId="69" fillId="0" borderId="4" xfId="0" applyFont="1" applyBorder="1" applyAlignment="1" applyProtection="1">
      <alignment vertical="center" wrapText="1"/>
      <protection locked="0"/>
    </xf>
    <xf numFmtId="10" fontId="69" fillId="0" borderId="4" xfId="2" applyNumberFormat="1" applyFont="1" applyFill="1" applyBorder="1" applyAlignment="1" applyProtection="1">
      <alignment horizontal="center"/>
      <protection locked="0"/>
    </xf>
    <xf numFmtId="0" fontId="69" fillId="0" borderId="4" xfId="0" applyFont="1" applyBorder="1" applyAlignment="1" applyProtection="1">
      <alignment vertical="center"/>
      <protection locked="0"/>
    </xf>
    <xf numFmtId="10" fontId="69" fillId="0" borderId="4" xfId="2" applyNumberFormat="1" applyFont="1" applyFill="1" applyBorder="1" applyProtection="1">
      <protection locked="0"/>
    </xf>
    <xf numFmtId="0" fontId="69" fillId="0" borderId="21" xfId="0" applyFont="1" applyBorder="1" applyProtection="1">
      <protection locked="0"/>
    </xf>
    <xf numFmtId="0" fontId="69" fillId="0" borderId="21" xfId="0" applyFont="1" applyBorder="1" applyAlignment="1" applyProtection="1">
      <alignment horizontal="center"/>
      <protection locked="0"/>
    </xf>
    <xf numFmtId="0" fontId="69" fillId="0" borderId="21" xfId="0" applyFont="1" applyBorder="1" applyAlignment="1" applyProtection="1">
      <alignment horizontal="center" vertical="center"/>
      <protection locked="0"/>
    </xf>
    <xf numFmtId="0" fontId="69" fillId="0" borderId="4" xfId="0" applyFont="1" applyBorder="1" applyAlignment="1" applyProtection="1">
      <alignment horizontal="center"/>
      <protection locked="0"/>
    </xf>
    <xf numFmtId="0" fontId="69" fillId="0" borderId="0" xfId="0" applyFont="1" applyProtection="1">
      <protection locked="0"/>
    </xf>
    <xf numFmtId="10" fontId="69" fillId="0" borderId="21" xfId="2" applyNumberFormat="1" applyFont="1" applyFill="1" applyBorder="1" applyProtection="1">
      <protection locked="0"/>
    </xf>
    <xf numFmtId="0" fontId="70" fillId="0" borderId="21" xfId="0" applyFont="1" applyBorder="1" applyAlignment="1" applyProtection="1">
      <alignment vertical="center" wrapText="1"/>
      <protection locked="0"/>
    </xf>
    <xf numFmtId="0" fontId="69" fillId="0" borderId="4" xfId="0" applyFont="1" applyBorder="1" applyProtection="1">
      <protection locked="0"/>
    </xf>
    <xf numFmtId="0" fontId="69" fillId="0" borderId="4" xfId="0" applyFont="1" applyBorder="1" applyAlignment="1" applyProtection="1">
      <alignment horizontal="center" vertical="center"/>
      <protection locked="0"/>
    </xf>
    <xf numFmtId="177" fontId="14" fillId="0" borderId="0" xfId="17" applyNumberFormat="1" applyFont="1" applyProtection="1">
      <protection locked="0"/>
    </xf>
    <xf numFmtId="0" fontId="47" fillId="36" borderId="4" xfId="0" applyFont="1" applyFill="1" applyBorder="1" applyAlignment="1" applyProtection="1">
      <alignment vertical="center"/>
      <protection hidden="1"/>
    </xf>
    <xf numFmtId="0" fontId="9" fillId="36" borderId="4" xfId="0" applyFont="1" applyFill="1" applyBorder="1" applyAlignment="1" applyProtection="1">
      <alignment vertical="center"/>
      <protection hidden="1"/>
    </xf>
    <xf numFmtId="0" fontId="47" fillId="13" borderId="4" xfId="0" applyFont="1" applyFill="1" applyBorder="1" applyAlignment="1" applyProtection="1">
      <alignment horizontal="center" vertical="center"/>
      <protection hidden="1"/>
    </xf>
    <xf numFmtId="0" fontId="47" fillId="0" borderId="21" xfId="0" applyFont="1" applyBorder="1" applyAlignment="1" applyProtection="1">
      <alignment horizontal="center" vertical="center"/>
      <protection hidden="1"/>
    </xf>
    <xf numFmtId="0" fontId="47" fillId="36" borderId="93" xfId="0" applyFont="1" applyFill="1" applyBorder="1" applyAlignment="1" applyProtection="1">
      <alignment vertical="center"/>
      <protection hidden="1"/>
    </xf>
    <xf numFmtId="0" fontId="35" fillId="0" borderId="14" xfId="0" applyFont="1" applyBorder="1" applyAlignment="1" applyProtection="1">
      <alignment horizontal="justify" vertical="center"/>
      <protection hidden="1"/>
    </xf>
    <xf numFmtId="0" fontId="74" fillId="0" borderId="14" xfId="0" applyFont="1" applyBorder="1" applyAlignment="1" applyProtection="1">
      <alignment horizontal="justify" vertical="center"/>
      <protection hidden="1"/>
    </xf>
    <xf numFmtId="0" fontId="47" fillId="13" borderId="4" xfId="0" applyFont="1" applyFill="1" applyBorder="1" applyAlignment="1" applyProtection="1">
      <alignment horizontal="justify" vertical="center"/>
      <protection hidden="1"/>
    </xf>
    <xf numFmtId="170" fontId="47" fillId="13" borderId="4" xfId="0" applyNumberFormat="1" applyFont="1" applyFill="1" applyBorder="1" applyAlignment="1" applyProtection="1">
      <alignment horizontal="center" vertical="center"/>
      <protection hidden="1"/>
    </xf>
    <xf numFmtId="170" fontId="47" fillId="0" borderId="0" xfId="0" applyNumberFormat="1" applyFont="1" applyAlignment="1" applyProtection="1">
      <alignment horizontal="center" vertical="center"/>
      <protection hidden="1"/>
    </xf>
    <xf numFmtId="0" fontId="35" fillId="11" borderId="4" xfId="0" applyFont="1" applyFill="1" applyBorder="1" applyAlignment="1" applyProtection="1">
      <alignment horizontal="justify" vertical="center"/>
      <protection hidden="1"/>
    </xf>
    <xf numFmtId="10" fontId="74" fillId="36" borderId="4" xfId="2" applyNumberFormat="1" applyFont="1" applyFill="1" applyBorder="1" applyAlignment="1" applyProtection="1">
      <alignment horizontal="center" vertical="center"/>
      <protection locked="0"/>
    </xf>
    <xf numFmtId="177" fontId="35" fillId="36" borderId="4" xfId="17" applyNumberFormat="1" applyFont="1" applyFill="1" applyBorder="1" applyAlignment="1" applyProtection="1">
      <alignment vertical="center"/>
      <protection locked="0"/>
    </xf>
    <xf numFmtId="0" fontId="14" fillId="53" borderId="0" xfId="5" applyFont="1" applyFill="1" applyAlignment="1" applyProtection="1">
      <alignment vertical="center" wrapText="1"/>
      <protection hidden="1"/>
    </xf>
    <xf numFmtId="0" fontId="110" fillId="53" borderId="0" xfId="5" applyFont="1" applyFill="1" applyAlignment="1" applyProtection="1">
      <alignment vertical="center" wrapText="1"/>
      <protection hidden="1"/>
    </xf>
    <xf numFmtId="0" fontId="9" fillId="0" borderId="4" xfId="0" applyFont="1" applyBorder="1" applyAlignment="1" applyProtection="1">
      <alignment horizontal="right" vertical="center" wrapText="1"/>
      <protection hidden="1"/>
    </xf>
    <xf numFmtId="0" fontId="111" fillId="0" borderId="0" xfId="0" applyFont="1" applyAlignment="1" applyProtection="1">
      <alignment horizontal="left" wrapText="1"/>
      <protection hidden="1"/>
    </xf>
    <xf numFmtId="0" fontId="10" fillId="20" borderId="14" xfId="5" applyFont="1" applyFill="1" applyBorder="1" applyAlignment="1" applyProtection="1">
      <alignment horizontal="center" vertical="center" wrapText="1"/>
      <protection hidden="1"/>
    </xf>
    <xf numFmtId="0" fontId="19" fillId="20" borderId="14" xfId="5" applyFont="1" applyFill="1" applyBorder="1" applyAlignment="1" applyProtection="1">
      <alignment horizontal="justify" vertical="center" wrapText="1"/>
      <protection hidden="1"/>
    </xf>
    <xf numFmtId="0" fontId="19" fillId="20" borderId="14" xfId="5" applyFont="1" applyFill="1" applyBorder="1" applyAlignment="1" applyProtection="1">
      <alignment horizontal="center" vertical="center" wrapText="1"/>
      <protection hidden="1"/>
    </xf>
    <xf numFmtId="0" fontId="19" fillId="20" borderId="4" xfId="5" applyFont="1" applyFill="1" applyBorder="1" applyAlignment="1" applyProtection="1">
      <alignment horizontal="center" vertical="center" wrapText="1"/>
      <protection hidden="1"/>
    </xf>
    <xf numFmtId="0" fontId="14" fillId="13" borderId="0" xfId="5" applyFont="1" applyFill="1" applyAlignment="1" applyProtection="1">
      <alignment vertical="center" wrapText="1"/>
      <protection hidden="1"/>
    </xf>
    <xf numFmtId="0" fontId="28" fillId="53" borderId="0" xfId="5" applyFont="1" applyFill="1" applyAlignment="1" applyProtection="1">
      <alignment horizontal="center" vertical="center" wrapText="1"/>
      <protection hidden="1"/>
    </xf>
    <xf numFmtId="43" fontId="25" fillId="0" borderId="4" xfId="18" applyFont="1" applyBorder="1" applyAlignment="1" applyProtection="1">
      <alignment vertical="center"/>
      <protection locked="0"/>
    </xf>
    <xf numFmtId="43" fontId="14" fillId="0" borderId="4" xfId="18" applyFont="1" applyBorder="1" applyAlignment="1" applyProtection="1">
      <alignment vertical="center"/>
      <protection locked="0"/>
    </xf>
    <xf numFmtId="43" fontId="14" fillId="0" borderId="22" xfId="18" applyFont="1" applyBorder="1" applyAlignment="1" applyProtection="1">
      <alignment vertical="center"/>
      <protection locked="0"/>
    </xf>
    <xf numFmtId="0" fontId="25" fillId="0" borderId="4" xfId="0" applyFont="1" applyBorder="1" applyAlignment="1" applyProtection="1">
      <alignment horizontal="left" vertical="center" wrapText="1"/>
      <protection locked="0"/>
    </xf>
    <xf numFmtId="0" fontId="14" fillId="0" borderId="4" xfId="0" applyFont="1" applyBorder="1" applyAlignment="1" applyProtection="1">
      <alignment horizontal="left" vertical="center" wrapText="1"/>
      <protection locked="0"/>
    </xf>
    <xf numFmtId="0" fontId="25" fillId="0" borderId="17"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22" xfId="0" applyFont="1" applyBorder="1" applyAlignment="1" applyProtection="1">
      <alignment horizontal="center" vertical="center"/>
      <protection locked="0"/>
    </xf>
    <xf numFmtId="0" fontId="14" fillId="0" borderId="23" xfId="0" applyFont="1" applyBorder="1" applyAlignment="1" applyProtection="1">
      <alignment horizontal="left" vertical="center" wrapText="1"/>
      <protection locked="0"/>
    </xf>
    <xf numFmtId="43" fontId="25" fillId="0" borderId="11" xfId="18" applyFont="1" applyBorder="1" applyAlignment="1" applyProtection="1">
      <alignment vertical="center"/>
      <protection locked="0"/>
    </xf>
    <xf numFmtId="0" fontId="25" fillId="0" borderId="11" xfId="0" applyFont="1" applyBorder="1" applyAlignment="1" applyProtection="1">
      <alignment horizontal="left" vertical="center" wrapText="1"/>
      <protection locked="0"/>
    </xf>
    <xf numFmtId="0" fontId="14" fillId="0" borderId="22" xfId="0" applyFont="1" applyBorder="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14" fillId="0" borderId="10" xfId="0" applyFont="1" applyBorder="1" applyAlignment="1" applyProtection="1">
      <alignment vertical="center"/>
      <protection locked="0"/>
    </xf>
    <xf numFmtId="0" fontId="14" fillId="0" borderId="12"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17" xfId="0" applyFont="1" applyBorder="1" applyAlignment="1" applyProtection="1">
      <alignment vertical="center"/>
      <protection locked="0"/>
    </xf>
    <xf numFmtId="0" fontId="14" fillId="0" borderId="29" xfId="0" applyFont="1" applyBorder="1" applyAlignment="1" applyProtection="1">
      <alignment vertical="center"/>
      <protection locked="0"/>
    </xf>
    <xf numFmtId="0" fontId="14" fillId="0" borderId="28" xfId="0" applyFont="1" applyBorder="1" applyAlignment="1" applyProtection="1">
      <alignment vertical="center"/>
      <protection locked="0"/>
    </xf>
    <xf numFmtId="0" fontId="14" fillId="0" borderId="48" xfId="0" applyFont="1" applyBorder="1" applyAlignment="1" applyProtection="1">
      <alignment vertical="center"/>
      <protection locked="0"/>
    </xf>
    <xf numFmtId="0" fontId="14" fillId="0" borderId="21" xfId="0" applyFont="1" applyBorder="1" applyAlignment="1" applyProtection="1">
      <alignment vertical="center"/>
      <protection locked="0"/>
    </xf>
    <xf numFmtId="0" fontId="14" fillId="0" borderId="18" xfId="0" applyFont="1" applyBorder="1" applyAlignment="1" applyProtection="1">
      <alignment vertical="center"/>
      <protection locked="0"/>
    </xf>
    <xf numFmtId="0" fontId="14" fillId="0" borderId="23" xfId="0" applyFont="1" applyBorder="1" applyAlignment="1" applyProtection="1">
      <alignment vertical="center"/>
      <protection locked="0"/>
    </xf>
    <xf numFmtId="0" fontId="14" fillId="0" borderId="103" xfId="0" applyFont="1" applyBorder="1" applyAlignment="1" applyProtection="1">
      <alignment horizontal="center" vertical="center"/>
      <protection locked="0"/>
    </xf>
    <xf numFmtId="0" fontId="14" fillId="0" borderId="103" xfId="0" applyFont="1" applyBorder="1" applyAlignment="1" applyProtection="1">
      <alignment horizontal="left" vertical="center" wrapText="1"/>
      <protection locked="0"/>
    </xf>
    <xf numFmtId="0" fontId="14" fillId="0" borderId="3" xfId="0" applyFont="1" applyBorder="1" applyAlignment="1" applyProtection="1">
      <alignment horizontal="left" vertical="center" wrapText="1"/>
      <protection locked="0"/>
    </xf>
    <xf numFmtId="0" fontId="14" fillId="0" borderId="97" xfId="0" applyFont="1" applyBorder="1" applyAlignment="1" applyProtection="1">
      <alignment horizontal="center" vertical="center"/>
      <protection locked="0"/>
    </xf>
    <xf numFmtId="0" fontId="14" fillId="0" borderId="137" xfId="0" applyFont="1" applyBorder="1" applyAlignment="1" applyProtection="1">
      <alignment vertical="center"/>
      <protection locked="0"/>
    </xf>
    <xf numFmtId="0" fontId="14" fillId="0" borderId="5" xfId="0" applyFont="1" applyBorder="1" applyAlignment="1" applyProtection="1">
      <alignment vertical="center"/>
      <protection locked="0"/>
    </xf>
    <xf numFmtId="179" fontId="59" fillId="0" borderId="4" xfId="0" applyNumberFormat="1" applyFont="1" applyBorder="1" applyAlignment="1" applyProtection="1">
      <alignment vertical="center"/>
      <protection hidden="1"/>
    </xf>
    <xf numFmtId="179" fontId="102" fillId="0" borderId="4" xfId="0" applyNumberFormat="1" applyFont="1" applyBorder="1" applyAlignment="1" applyProtection="1">
      <alignment horizontal="center" vertical="center"/>
      <protection hidden="1"/>
    </xf>
    <xf numFmtId="179" fontId="71" fillId="9" borderId="4" xfId="0" applyNumberFormat="1" applyFont="1" applyFill="1" applyBorder="1" applyAlignment="1" applyProtection="1">
      <alignment horizontal="center" vertical="center"/>
      <protection hidden="1"/>
    </xf>
    <xf numFmtId="179" fontId="59" fillId="0" borderId="4" xfId="0" applyNumberFormat="1" applyFont="1" applyBorder="1" applyProtection="1">
      <protection hidden="1"/>
    </xf>
    <xf numFmtId="0" fontId="102" fillId="0" borderId="4" xfId="0" applyFont="1" applyBorder="1" applyAlignment="1" applyProtection="1">
      <alignment horizontal="center" vertical="center"/>
      <protection hidden="1"/>
    </xf>
    <xf numFmtId="0" fontId="84" fillId="0" borderId="0" xfId="0" applyFont="1" applyAlignment="1" applyProtection="1">
      <alignment horizontal="center" vertical="center"/>
      <protection hidden="1"/>
    </xf>
    <xf numFmtId="0" fontId="177" fillId="0" borderId="0" xfId="0" applyFont="1" applyAlignment="1" applyProtection="1">
      <alignment horizontal="center" vertical="center"/>
      <protection hidden="1"/>
    </xf>
    <xf numFmtId="0" fontId="88" fillId="0" borderId="4" xfId="0" applyFont="1" applyBorder="1" applyAlignment="1" applyProtection="1">
      <alignment horizontal="center" vertical="center" wrapText="1"/>
      <protection hidden="1"/>
    </xf>
    <xf numFmtId="0" fontId="87" fillId="0" borderId="4" xfId="0" applyFont="1" applyBorder="1" applyAlignment="1" applyProtection="1">
      <alignment horizontal="center" vertical="center" wrapText="1"/>
      <protection hidden="1"/>
    </xf>
    <xf numFmtId="0" fontId="88" fillId="25" borderId="4" xfId="0" applyFont="1" applyFill="1" applyBorder="1" applyAlignment="1" applyProtection="1">
      <alignment horizontal="center" vertical="center"/>
      <protection hidden="1"/>
    </xf>
    <xf numFmtId="0" fontId="179" fillId="25" borderId="4" xfId="0" applyFont="1" applyFill="1" applyBorder="1" applyAlignment="1" applyProtection="1">
      <alignment horizontal="center" vertical="center"/>
      <protection hidden="1"/>
    </xf>
    <xf numFmtId="0" fontId="90" fillId="25" borderId="93" xfId="0" applyFont="1" applyFill="1" applyBorder="1" applyAlignment="1" applyProtection="1">
      <alignment horizontal="center" vertical="center" wrapText="1"/>
      <protection hidden="1"/>
    </xf>
    <xf numFmtId="170" fontId="92" fillId="0" borderId="4" xfId="2" applyNumberFormat="1" applyFont="1" applyFill="1" applyBorder="1" applyAlignment="1" applyProtection="1">
      <alignment horizontal="center" vertical="center"/>
      <protection hidden="1"/>
    </xf>
    <xf numFmtId="0" fontId="0" fillId="0" borderId="4" xfId="0" applyBorder="1" applyAlignment="1" applyProtection="1">
      <alignment horizontal="left" vertical="center" wrapText="1"/>
      <protection hidden="1"/>
    </xf>
    <xf numFmtId="0" fontId="71" fillId="0" borderId="4" xfId="0" applyFont="1" applyBorder="1" applyAlignment="1" applyProtection="1">
      <alignment horizontal="left" vertical="center" wrapText="1"/>
      <protection hidden="1"/>
    </xf>
    <xf numFmtId="0" fontId="0" fillId="0" borderId="0" xfId="0" applyAlignment="1" applyProtection="1">
      <alignment horizontal="center" vertical="top" wrapText="1"/>
      <protection hidden="1"/>
    </xf>
    <xf numFmtId="0" fontId="59" fillId="12" borderId="4" xfId="0" applyFont="1" applyFill="1" applyBorder="1" applyAlignment="1" applyProtection="1">
      <alignment horizontal="center" vertical="center" wrapText="1"/>
      <protection hidden="1"/>
    </xf>
    <xf numFmtId="0" fontId="59" fillId="12" borderId="9" xfId="0" applyFont="1" applyFill="1" applyBorder="1" applyAlignment="1" applyProtection="1">
      <alignment horizontal="center" vertical="center" wrapText="1"/>
      <protection hidden="1"/>
    </xf>
    <xf numFmtId="0" fontId="59" fillId="6" borderId="4" xfId="0" applyFont="1" applyFill="1" applyBorder="1" applyAlignment="1" applyProtection="1">
      <alignment horizontal="center" vertical="center" wrapText="1"/>
      <protection hidden="1"/>
    </xf>
    <xf numFmtId="0" fontId="59" fillId="6" borderId="9" xfId="0" applyFont="1" applyFill="1" applyBorder="1" applyAlignment="1" applyProtection="1">
      <alignment horizontal="center" vertical="center" wrapText="1"/>
      <protection hidden="1"/>
    </xf>
    <xf numFmtId="0" fontId="59" fillId="46" borderId="4" xfId="0" applyFont="1" applyFill="1" applyBorder="1" applyAlignment="1" applyProtection="1">
      <alignment horizontal="center" vertical="center" wrapText="1"/>
      <protection hidden="1"/>
    </xf>
    <xf numFmtId="0" fontId="93" fillId="0" borderId="13" xfId="0" applyFont="1" applyBorder="1" applyAlignment="1" applyProtection="1">
      <alignment horizontal="left" vertical="top" wrapText="1"/>
      <protection hidden="1"/>
    </xf>
    <xf numFmtId="0" fontId="180" fillId="0" borderId="13" xfId="0" applyFont="1" applyBorder="1" applyAlignment="1" applyProtection="1">
      <alignment horizontal="left" vertical="top" wrapText="1"/>
      <protection hidden="1"/>
    </xf>
    <xf numFmtId="0" fontId="84" fillId="25" borderId="4" xfId="0" applyFont="1" applyFill="1" applyBorder="1" applyAlignment="1" applyProtection="1">
      <alignment horizontal="center" vertical="center" wrapText="1"/>
      <protection hidden="1"/>
    </xf>
    <xf numFmtId="0" fontId="84" fillId="25" borderId="93" xfId="0" applyFont="1" applyFill="1" applyBorder="1" applyAlignment="1" applyProtection="1">
      <alignment horizontal="center" vertical="center"/>
      <protection hidden="1"/>
    </xf>
    <xf numFmtId="0" fontId="59" fillId="25" borderId="93" xfId="0" applyFont="1" applyFill="1" applyBorder="1" applyAlignment="1" applyProtection="1">
      <alignment horizontal="center" vertical="center"/>
      <protection hidden="1"/>
    </xf>
    <xf numFmtId="0" fontId="59" fillId="25" borderId="4" xfId="0" applyFont="1" applyFill="1" applyBorder="1" applyAlignment="1" applyProtection="1">
      <alignment horizontal="center" vertical="center" wrapText="1"/>
      <protection hidden="1"/>
    </xf>
    <xf numFmtId="0" fontId="94" fillId="25" borderId="4" xfId="0" applyFont="1" applyFill="1" applyBorder="1" applyAlignment="1" applyProtection="1">
      <alignment horizontal="center" vertical="center" wrapText="1"/>
      <protection hidden="1"/>
    </xf>
    <xf numFmtId="0" fontId="0" fillId="0" borderId="4" xfId="0" applyBorder="1" applyAlignment="1" applyProtection="1">
      <alignment vertical="center"/>
      <protection hidden="1"/>
    </xf>
    <xf numFmtId="9" fontId="0" fillId="0" borderId="4" xfId="0" applyNumberFormat="1" applyBorder="1" applyAlignment="1" applyProtection="1">
      <alignment horizontal="center" vertical="center"/>
      <protection hidden="1"/>
    </xf>
    <xf numFmtId="0" fontId="0" fillId="0" borderId="9" xfId="0" applyBorder="1" applyAlignment="1" applyProtection="1">
      <alignment vertical="center"/>
      <protection hidden="1"/>
    </xf>
    <xf numFmtId="0" fontId="0" fillId="0" borderId="4" xfId="0" applyBorder="1" applyAlignment="1" applyProtection="1">
      <alignment vertical="center" wrapText="1"/>
      <protection hidden="1"/>
    </xf>
    <xf numFmtId="175" fontId="175" fillId="0" borderId="4" xfId="0" applyNumberFormat="1" applyFont="1" applyBorder="1" applyAlignment="1" applyProtection="1">
      <alignment vertical="center" wrapText="1"/>
      <protection hidden="1"/>
    </xf>
    <xf numFmtId="41" fontId="175" fillId="0" borderId="4" xfId="19" applyFont="1" applyBorder="1" applyAlignment="1" applyProtection="1">
      <alignment vertical="center"/>
      <protection hidden="1"/>
    </xf>
    <xf numFmtId="0" fontId="175" fillId="0" borderId="4" xfId="0" applyFont="1" applyBorder="1" applyAlignment="1" applyProtection="1">
      <alignment vertical="center" wrapText="1"/>
      <protection hidden="1"/>
    </xf>
    <xf numFmtId="0" fontId="88" fillId="25" borderId="4" xfId="0" applyFont="1" applyFill="1" applyBorder="1" applyAlignment="1" applyProtection="1">
      <alignment horizontal="center" vertical="center"/>
      <protection locked="0"/>
    </xf>
    <xf numFmtId="0" fontId="83" fillId="25" borderId="4" xfId="0" applyFont="1" applyFill="1" applyBorder="1" applyAlignment="1" applyProtection="1">
      <alignment horizontal="center" vertical="center"/>
      <protection locked="0"/>
    </xf>
    <xf numFmtId="0" fontId="92" fillId="20" borderId="4" xfId="0" applyFont="1" applyFill="1" applyBorder="1" applyAlignment="1" applyProtection="1">
      <alignment horizontal="center" vertical="center"/>
      <protection locked="0"/>
    </xf>
    <xf numFmtId="0" fontId="177" fillId="20" borderId="4" xfId="0" applyFont="1" applyFill="1" applyBorder="1" applyAlignment="1" applyProtection="1">
      <alignment horizontal="center" vertical="center"/>
      <protection locked="0"/>
    </xf>
    <xf numFmtId="179" fontId="59" fillId="0" borderId="4" xfId="0" applyNumberFormat="1"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1" fillId="64" borderId="29" xfId="33" applyFont="1" applyFill="1" applyBorder="1" applyAlignment="1" applyProtection="1">
      <alignment horizontal="center" vertical="center" wrapText="1"/>
      <protection hidden="1"/>
    </xf>
    <xf numFmtId="0" fontId="51" fillId="64" borderId="20" xfId="33" applyFont="1" applyFill="1" applyBorder="1" applyAlignment="1" applyProtection="1">
      <alignment horizontal="center" vertical="center" wrapText="1"/>
      <protection hidden="1"/>
    </xf>
    <xf numFmtId="0" fontId="51" fillId="64" borderId="28" xfId="33" applyFont="1" applyFill="1" applyBorder="1" applyAlignment="1" applyProtection="1">
      <alignment horizontal="center" vertical="center" wrapText="1"/>
      <protection hidden="1"/>
    </xf>
    <xf numFmtId="0" fontId="117" fillId="0" borderId="10" xfId="5" applyFont="1" applyBorder="1" applyAlignment="1" applyProtection="1">
      <alignment horizontal="center" vertical="center" wrapText="1"/>
      <protection hidden="1"/>
    </xf>
    <xf numFmtId="0" fontId="53" fillId="0" borderId="11" xfId="5" applyFont="1" applyBorder="1" applyAlignment="1" applyProtection="1">
      <alignment horizontal="justify" vertical="center" wrapText="1"/>
      <protection hidden="1"/>
    </xf>
    <xf numFmtId="0" fontId="53" fillId="0" borderId="11" xfId="5" applyFont="1" applyBorder="1" applyAlignment="1" applyProtection="1">
      <alignment horizontal="center" vertical="center" wrapText="1"/>
      <protection hidden="1"/>
    </xf>
    <xf numFmtId="10" fontId="110" fillId="0" borderId="12" xfId="5" applyNumberFormat="1" applyFont="1" applyBorder="1" applyAlignment="1" applyProtection="1">
      <alignment horizontal="center" vertical="center"/>
      <protection hidden="1"/>
    </xf>
    <xf numFmtId="0" fontId="117" fillId="0" borderId="16" xfId="5" applyFont="1" applyBorder="1" applyAlignment="1" applyProtection="1">
      <alignment horizontal="center" vertical="center" wrapText="1"/>
      <protection hidden="1"/>
    </xf>
    <xf numFmtId="0" fontId="53" fillId="0" borderId="4" xfId="5" applyFont="1" applyBorder="1" applyAlignment="1" applyProtection="1">
      <alignment horizontal="justify" vertical="center" wrapText="1"/>
      <protection hidden="1"/>
    </xf>
    <xf numFmtId="0" fontId="53" fillId="0" borderId="4" xfId="5" applyFont="1" applyBorder="1" applyAlignment="1" applyProtection="1">
      <alignment horizontal="center" vertical="center" wrapText="1"/>
      <protection hidden="1"/>
    </xf>
    <xf numFmtId="10" fontId="110" fillId="0" borderId="17" xfId="5" applyNumberFormat="1" applyFont="1" applyBorder="1" applyAlignment="1" applyProtection="1">
      <alignment horizontal="center" vertical="center"/>
      <protection hidden="1"/>
    </xf>
    <xf numFmtId="0" fontId="27" fillId="0" borderId="16" xfId="5" applyFont="1" applyBorder="1" applyAlignment="1" applyProtection="1">
      <alignment horizontal="center" vertical="center" wrapText="1"/>
      <protection hidden="1"/>
    </xf>
    <xf numFmtId="0" fontId="9" fillId="0" borderId="4" xfId="5" applyFont="1" applyBorder="1" applyAlignment="1" applyProtection="1">
      <alignment horizontal="justify" vertical="center" wrapText="1"/>
      <protection hidden="1"/>
    </xf>
    <xf numFmtId="0" fontId="9" fillId="0" borderId="4" xfId="5" applyFont="1" applyBorder="1" applyAlignment="1" applyProtection="1">
      <alignment horizontal="center" vertical="center" wrapText="1"/>
      <protection hidden="1"/>
    </xf>
    <xf numFmtId="0" fontId="117" fillId="0" borderId="25" xfId="5" applyFont="1" applyBorder="1" applyAlignment="1" applyProtection="1">
      <alignment horizontal="center" vertical="center" wrapText="1"/>
      <protection hidden="1"/>
    </xf>
    <xf numFmtId="0" fontId="53" fillId="0" borderId="22" xfId="5" applyFont="1" applyBorder="1" applyAlignment="1" applyProtection="1">
      <alignment horizontal="justify" vertical="center" wrapText="1"/>
      <protection hidden="1"/>
    </xf>
    <xf numFmtId="0" fontId="53" fillId="0" borderId="22" xfId="5" applyFont="1" applyBorder="1" applyAlignment="1" applyProtection="1">
      <alignment horizontal="center" vertical="center" wrapText="1"/>
      <protection hidden="1"/>
    </xf>
    <xf numFmtId="10" fontId="110" fillId="0" borderId="23" xfId="5" applyNumberFormat="1" applyFont="1" applyBorder="1" applyAlignment="1" applyProtection="1">
      <alignment horizontal="center" vertical="center"/>
      <protection hidden="1"/>
    </xf>
    <xf numFmtId="0" fontId="117" fillId="0" borderId="11" xfId="5" applyFont="1" applyBorder="1" applyAlignment="1" applyProtection="1">
      <alignment horizontal="justify" vertical="center" wrapText="1"/>
      <protection hidden="1"/>
    </xf>
    <xf numFmtId="0" fontId="65" fillId="0" borderId="11" xfId="5" applyFont="1" applyBorder="1" applyAlignment="1" applyProtection="1">
      <alignment vertical="center" wrapText="1"/>
      <protection hidden="1"/>
    </xf>
    <xf numFmtId="0" fontId="53" fillId="0" borderId="11" xfId="5" applyFont="1" applyBorder="1" applyAlignment="1" applyProtection="1">
      <alignment vertical="center" wrapText="1"/>
      <protection hidden="1"/>
    </xf>
    <xf numFmtId="10" fontId="53" fillId="15" borderId="4" xfId="2" applyNumberFormat="1" applyFont="1" applyFill="1" applyBorder="1" applyAlignment="1" applyProtection="1">
      <alignment horizontal="center" vertical="center" wrapText="1"/>
      <protection locked="0"/>
    </xf>
    <xf numFmtId="9" fontId="53" fillId="15" borderId="4" xfId="2" applyFont="1" applyFill="1" applyBorder="1" applyAlignment="1" applyProtection="1">
      <alignment horizontal="center" vertical="center" wrapText="1"/>
      <protection locked="0"/>
    </xf>
    <xf numFmtId="10" fontId="53" fillId="15" borderId="22" xfId="2" applyNumberFormat="1" applyFont="1" applyFill="1" applyBorder="1" applyAlignment="1" applyProtection="1">
      <alignment horizontal="center" vertical="center" wrapText="1"/>
      <protection locked="0"/>
    </xf>
    <xf numFmtId="10" fontId="53" fillId="15" borderId="11" xfId="2" applyNumberFormat="1" applyFont="1" applyFill="1" applyBorder="1" applyAlignment="1" applyProtection="1">
      <alignment horizontal="center" vertical="center" wrapText="1"/>
      <protection locked="0"/>
    </xf>
    <xf numFmtId="0" fontId="53" fillId="0" borderId="11" xfId="5" applyFont="1" applyBorder="1" applyAlignment="1" applyProtection="1">
      <alignment horizontal="justify" vertical="center" wrapText="1"/>
    </xf>
    <xf numFmtId="0" fontId="53" fillId="0" borderId="4" xfId="5" applyFont="1" applyBorder="1" applyAlignment="1" applyProtection="1">
      <alignment horizontal="justify" vertical="center" wrapText="1"/>
    </xf>
    <xf numFmtId="0" fontId="9" fillId="0" borderId="4" xfId="5" applyFont="1" applyBorder="1" applyAlignment="1" applyProtection="1">
      <alignment horizontal="justify" vertical="center" wrapText="1"/>
    </xf>
    <xf numFmtId="0" fontId="53" fillId="0" borderId="22" xfId="5" applyFont="1" applyBorder="1" applyAlignment="1" applyProtection="1">
      <alignment horizontal="justify" vertical="center" wrapText="1"/>
    </xf>
    <xf numFmtId="0" fontId="117" fillId="0" borderId="11" xfId="5" applyFont="1" applyBorder="1" applyAlignment="1" applyProtection="1">
      <alignment horizontal="center" vertical="center" wrapText="1"/>
    </xf>
    <xf numFmtId="0" fontId="25" fillId="29" borderId="137" xfId="0" applyFont="1" applyFill="1" applyBorder="1" applyAlignment="1" applyProtection="1">
      <alignment horizontal="center" vertical="center" wrapText="1"/>
      <protection hidden="1"/>
    </xf>
    <xf numFmtId="0" fontId="25" fillId="29" borderId="134" xfId="0" applyFont="1" applyFill="1" applyBorder="1" applyAlignment="1" applyProtection="1">
      <alignment horizontal="center" vertical="center" wrapText="1"/>
      <protection hidden="1"/>
    </xf>
    <xf numFmtId="0" fontId="25" fillId="29" borderId="51" xfId="0" applyFont="1" applyFill="1" applyBorder="1" applyAlignment="1" applyProtection="1">
      <alignment horizontal="center" vertical="center" wrapText="1"/>
      <protection hidden="1"/>
    </xf>
    <xf numFmtId="0" fontId="25" fillId="29" borderId="131" xfId="0" applyFont="1" applyFill="1" applyBorder="1" applyAlignment="1" applyProtection="1">
      <alignment horizontal="center" vertical="center" wrapText="1"/>
      <protection hidden="1"/>
    </xf>
    <xf numFmtId="0" fontId="14" fillId="0" borderId="137" xfId="0" applyFont="1" applyBorder="1" applyAlignment="1" applyProtection="1">
      <alignment horizontal="center" vertical="center"/>
      <protection hidden="1"/>
    </xf>
    <xf numFmtId="0" fontId="36" fillId="14" borderId="138" xfId="0" applyFont="1" applyFill="1" applyBorder="1" applyAlignment="1" applyProtection="1">
      <alignment vertical="center" wrapText="1"/>
      <protection locked="0"/>
    </xf>
    <xf numFmtId="0" fontId="14" fillId="0" borderId="138" xfId="0" applyFont="1" applyBorder="1" applyAlignment="1" applyProtection="1">
      <alignment horizontal="left" vertical="center" wrapText="1"/>
      <protection locked="0"/>
    </xf>
    <xf numFmtId="0" fontId="25" fillId="29" borderId="138" xfId="0" applyFont="1" applyFill="1" applyBorder="1" applyAlignment="1" applyProtection="1">
      <alignment horizontal="center" vertical="center" wrapText="1"/>
      <protection locked="0"/>
    </xf>
    <xf numFmtId="164" fontId="14" fillId="20" borderId="138" xfId="14" applyFont="1" applyFill="1" applyBorder="1" applyAlignment="1" applyProtection="1">
      <alignment vertical="center"/>
      <protection locked="0"/>
    </xf>
    <xf numFmtId="0" fontId="36" fillId="14" borderId="47" xfId="0" applyFont="1" applyFill="1" applyBorder="1" applyAlignment="1" applyProtection="1">
      <alignment vertical="center" wrapText="1"/>
      <protection locked="0"/>
    </xf>
    <xf numFmtId="164" fontId="14" fillId="20" borderId="24" xfId="14" applyFont="1" applyFill="1" applyBorder="1" applyAlignment="1" applyProtection="1">
      <alignment vertical="center"/>
      <protection locked="0"/>
    </xf>
    <xf numFmtId="0" fontId="36" fillId="14" borderId="24" xfId="0" applyFont="1" applyFill="1" applyBorder="1" applyAlignment="1" applyProtection="1">
      <alignment horizontal="justify" vertical="center" wrapText="1"/>
      <protection locked="0"/>
    </xf>
    <xf numFmtId="0" fontId="36" fillId="14" borderId="138" xfId="0" applyFont="1" applyFill="1" applyBorder="1" applyAlignment="1" applyProtection="1">
      <alignment horizontal="justify" vertical="center" wrapText="1"/>
      <protection locked="0"/>
    </xf>
    <xf numFmtId="164" fontId="14" fillId="20" borderId="14" xfId="14" applyFont="1" applyFill="1" applyBorder="1" applyAlignment="1" applyProtection="1">
      <alignment vertical="center"/>
      <protection locked="0"/>
    </xf>
    <xf numFmtId="0" fontId="14" fillId="14" borderId="7" xfId="0" applyFont="1" applyFill="1" applyBorder="1" applyAlignment="1" applyProtection="1">
      <alignment horizontal="left" vertical="center" wrapText="1"/>
      <protection locked="0"/>
    </xf>
    <xf numFmtId="164" fontId="14" fillId="20" borderId="7" xfId="14" applyFont="1" applyFill="1" applyBorder="1" applyAlignment="1" applyProtection="1">
      <alignment vertical="center"/>
      <protection locked="0"/>
    </xf>
    <xf numFmtId="0" fontId="14" fillId="14" borderId="138" xfId="0" applyFont="1" applyFill="1" applyBorder="1" applyAlignment="1" applyProtection="1">
      <alignment horizontal="left" vertical="center" wrapText="1"/>
      <protection locked="0"/>
    </xf>
    <xf numFmtId="0" fontId="14" fillId="14" borderId="24" xfId="0" applyFont="1" applyFill="1" applyBorder="1" applyAlignment="1" applyProtection="1">
      <alignment horizontal="left" vertical="center" wrapText="1"/>
      <protection locked="0"/>
    </xf>
    <xf numFmtId="0" fontId="14" fillId="29" borderId="138" xfId="0" applyFont="1" applyFill="1" applyBorder="1" applyAlignment="1" applyProtection="1">
      <alignment horizontal="left" vertical="center" wrapText="1"/>
      <protection locked="0"/>
    </xf>
    <xf numFmtId="0" fontId="14" fillId="29" borderId="47" xfId="0" applyFont="1" applyFill="1" applyBorder="1" applyAlignment="1" applyProtection="1">
      <alignment horizontal="left" vertical="center" wrapText="1"/>
      <protection locked="0"/>
    </xf>
    <xf numFmtId="0" fontId="14" fillId="29" borderId="24" xfId="0" applyFont="1" applyFill="1" applyBorder="1" applyAlignment="1" applyProtection="1">
      <alignment horizontal="left" vertical="center" wrapText="1"/>
      <protection locked="0"/>
    </xf>
    <xf numFmtId="0" fontId="14" fillId="29" borderId="7" xfId="0" applyFont="1" applyFill="1" applyBorder="1" applyAlignment="1" applyProtection="1">
      <alignment horizontal="left" vertical="center" wrapText="1"/>
      <protection locked="0"/>
    </xf>
    <xf numFmtId="0" fontId="25" fillId="20" borderId="138" xfId="0" applyFont="1" applyFill="1" applyBorder="1" applyAlignment="1" applyProtection="1">
      <alignment horizontal="left" vertical="center"/>
      <protection locked="0"/>
    </xf>
    <xf numFmtId="0" fontId="14" fillId="20" borderId="139" xfId="0" applyFont="1" applyFill="1" applyBorder="1" applyAlignment="1" applyProtection="1">
      <alignment horizontal="center" vertical="center"/>
      <protection locked="0"/>
    </xf>
    <xf numFmtId="0" fontId="25" fillId="0" borderId="101" xfId="0" applyFont="1" applyBorder="1" applyAlignment="1" applyProtection="1">
      <alignment horizontal="left" vertical="center" wrapText="1"/>
      <protection locked="0"/>
    </xf>
    <xf numFmtId="0" fontId="25" fillId="20" borderId="47" xfId="0" applyFont="1" applyFill="1" applyBorder="1" applyAlignment="1" applyProtection="1">
      <alignment horizontal="left" vertical="center"/>
      <protection locked="0"/>
    </xf>
    <xf numFmtId="0" fontId="14" fillId="20" borderId="47" xfId="0" applyFont="1" applyFill="1" applyBorder="1" applyAlignment="1" applyProtection="1">
      <alignment horizontal="center" vertical="center"/>
      <protection locked="0"/>
    </xf>
    <xf numFmtId="0" fontId="25" fillId="0" borderId="139" xfId="0" applyFont="1" applyBorder="1" applyAlignment="1" applyProtection="1">
      <alignment horizontal="left" vertical="center" wrapText="1"/>
      <protection locked="0"/>
    </xf>
    <xf numFmtId="0" fontId="25" fillId="20" borderId="24" xfId="0" applyFont="1" applyFill="1" applyBorder="1" applyAlignment="1" applyProtection="1">
      <alignment horizontal="left" vertical="center"/>
      <protection locked="0"/>
    </xf>
    <xf numFmtId="0" fontId="14" fillId="20" borderId="24" xfId="0" applyFont="1" applyFill="1" applyBorder="1" applyAlignment="1" applyProtection="1">
      <alignment horizontal="center" vertical="center"/>
      <protection locked="0"/>
    </xf>
    <xf numFmtId="0" fontId="25" fillId="0" borderId="133" xfId="0" applyFont="1" applyBorder="1" applyAlignment="1" applyProtection="1">
      <alignment horizontal="left" vertical="center" wrapText="1"/>
      <protection locked="0"/>
    </xf>
    <xf numFmtId="0" fontId="14" fillId="20" borderId="138" xfId="0" applyFont="1" applyFill="1" applyBorder="1" applyAlignment="1" applyProtection="1">
      <alignment horizontal="center" vertical="center"/>
      <protection locked="0"/>
    </xf>
    <xf numFmtId="0" fontId="25" fillId="20" borderId="7" xfId="0" applyFont="1" applyFill="1" applyBorder="1" applyAlignment="1" applyProtection="1">
      <alignment horizontal="left" vertical="center"/>
      <protection locked="0"/>
    </xf>
    <xf numFmtId="0" fontId="14" fillId="20" borderId="7" xfId="0" applyFont="1" applyFill="1" applyBorder="1" applyAlignment="1" applyProtection="1">
      <alignment horizontal="center" vertical="center"/>
      <protection locked="0"/>
    </xf>
    <xf numFmtId="0" fontId="25" fillId="0" borderId="8" xfId="0" applyFont="1" applyBorder="1" applyAlignment="1" applyProtection="1">
      <alignment horizontal="left" vertical="center" wrapText="1"/>
      <protection locked="0"/>
    </xf>
    <xf numFmtId="0" fontId="14" fillId="0" borderId="0" xfId="0" applyFont="1" applyAlignment="1" applyProtection="1">
      <alignment horizontal="lef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14" fillId="0" borderId="0" xfId="0" applyFont="1" applyAlignment="1" applyProtection="1">
      <alignment horizontal="justify" vertical="center"/>
    </xf>
    <xf numFmtId="167" fontId="23" fillId="64" borderId="131" xfId="24" applyNumberFormat="1" applyFont="1" applyFill="1" applyBorder="1" applyAlignment="1" applyProtection="1">
      <alignment horizontal="center" vertical="center" wrapText="1"/>
      <protection hidden="1"/>
    </xf>
    <xf numFmtId="167" fontId="23" fillId="64" borderId="7" xfId="24" applyNumberFormat="1" applyFont="1" applyFill="1" applyBorder="1" applyAlignment="1" applyProtection="1">
      <alignment horizontal="center" vertical="center"/>
      <protection hidden="1"/>
    </xf>
    <xf numFmtId="167" fontId="23" fillId="64" borderId="7" xfId="24" applyNumberFormat="1" applyFont="1" applyFill="1" applyBorder="1" applyAlignment="1" applyProtection="1">
      <alignment horizontal="center" vertical="center" wrapText="1"/>
      <protection hidden="1"/>
    </xf>
    <xf numFmtId="167" fontId="23" fillId="64" borderId="8" xfId="24" applyNumberFormat="1" applyFont="1" applyFill="1" applyBorder="1" applyAlignment="1" applyProtection="1">
      <alignment horizontal="center" vertical="center"/>
      <protection hidden="1"/>
    </xf>
    <xf numFmtId="167" fontId="23" fillId="64" borderId="45" xfId="4" applyNumberFormat="1" applyFont="1" applyFill="1" applyBorder="1" applyAlignment="1" applyProtection="1">
      <alignment horizontal="center" vertical="center" wrapText="1"/>
      <protection hidden="1"/>
    </xf>
    <xf numFmtId="167" fontId="23" fillId="64" borderId="45" xfId="24" applyNumberFormat="1" applyFont="1" applyFill="1" applyBorder="1" applyAlignment="1" applyProtection="1">
      <alignment horizontal="center" vertical="center" wrapText="1"/>
      <protection hidden="1"/>
    </xf>
    <xf numFmtId="0" fontId="25" fillId="47" borderId="4" xfId="0" applyFont="1" applyFill="1" applyBorder="1" applyAlignment="1" applyProtection="1">
      <alignment vertical="center" wrapText="1"/>
      <protection hidden="1"/>
    </xf>
    <xf numFmtId="0" fontId="14" fillId="47" borderId="4" xfId="0" applyFont="1" applyFill="1" applyBorder="1" applyAlignment="1" applyProtection="1">
      <alignment horizontal="center" vertical="center"/>
      <protection hidden="1"/>
    </xf>
    <xf numFmtId="10" fontId="25" fillId="47" borderId="4" xfId="0" applyNumberFormat="1" applyFont="1" applyFill="1" applyBorder="1" applyAlignment="1" applyProtection="1">
      <alignment horizontal="center" vertical="center"/>
      <protection hidden="1"/>
    </xf>
    <xf numFmtId="10" fontId="25" fillId="46" borderId="4" xfId="0" applyNumberFormat="1" applyFont="1" applyFill="1" applyBorder="1" applyAlignment="1" applyProtection="1">
      <alignment horizontal="center" vertical="center"/>
      <protection hidden="1"/>
    </xf>
    <xf numFmtId="0" fontId="14" fillId="46" borderId="4" xfId="0" applyFont="1" applyFill="1" applyBorder="1" applyAlignment="1" applyProtection="1">
      <alignment horizontal="center" vertical="center"/>
      <protection hidden="1"/>
    </xf>
    <xf numFmtId="10" fontId="19" fillId="0" borderId="4" xfId="0" applyNumberFormat="1" applyFont="1" applyBorder="1" applyAlignment="1" applyProtection="1">
      <alignment horizontal="center" vertical="center"/>
      <protection hidden="1"/>
    </xf>
    <xf numFmtId="0" fontId="19" fillId="0" borderId="14" xfId="0" applyFont="1" applyBorder="1" applyAlignment="1" applyProtection="1">
      <alignment horizontal="center" vertical="center"/>
      <protection hidden="1"/>
    </xf>
    <xf numFmtId="9" fontId="14" fillId="0" borderId="0" xfId="2" applyFont="1" applyAlignment="1" applyProtection="1">
      <alignment vertical="center"/>
      <protection hidden="1"/>
    </xf>
    <xf numFmtId="0" fontId="25" fillId="34" borderId="4" xfId="0" applyFont="1" applyFill="1" applyBorder="1" applyAlignment="1" applyProtection="1">
      <alignment horizontal="justify" vertical="center"/>
      <protection hidden="1"/>
    </xf>
    <xf numFmtId="2" fontId="25" fillId="0" borderId="4" xfId="0" applyNumberFormat="1" applyFont="1" applyBorder="1" applyAlignment="1" applyProtection="1">
      <alignment horizontal="center" vertical="center"/>
      <protection hidden="1"/>
    </xf>
    <xf numFmtId="49" fontId="25" fillId="34" borderId="4" xfId="0" applyNumberFormat="1" applyFont="1" applyFill="1" applyBorder="1" applyAlignment="1" applyProtection="1">
      <alignment horizontal="justify" vertical="center"/>
      <protection hidden="1"/>
    </xf>
    <xf numFmtId="0" fontId="25" fillId="14" borderId="4" xfId="0" applyFont="1" applyFill="1" applyBorder="1" applyAlignment="1" applyProtection="1">
      <alignment horizontal="center" vertical="center" wrapText="1"/>
      <protection hidden="1"/>
    </xf>
    <xf numFmtId="0" fontId="25" fillId="0" borderId="0" xfId="0" applyFont="1" applyAlignment="1" applyProtection="1">
      <alignment horizontal="justify" vertical="center"/>
      <protection hidden="1"/>
    </xf>
    <xf numFmtId="9" fontId="22" fillId="0" borderId="54" xfId="2" applyFont="1" applyBorder="1" applyAlignment="1" applyProtection="1">
      <alignment horizontal="center" vertical="center"/>
      <protection hidden="1"/>
    </xf>
    <xf numFmtId="0" fontId="14" fillId="0" borderId="0" xfId="0" applyFont="1" applyAlignment="1" applyProtection="1">
      <alignment horizontal="justify" vertical="center"/>
      <protection hidden="1"/>
    </xf>
    <xf numFmtId="0" fontId="55" fillId="64" borderId="40" xfId="0" applyFont="1" applyFill="1" applyBorder="1" applyAlignment="1" applyProtection="1">
      <alignment horizontal="center" vertical="center" wrapText="1"/>
      <protection hidden="1"/>
    </xf>
    <xf numFmtId="0" fontId="37" fillId="0" borderId="19" xfId="0" applyFont="1" applyBorder="1" applyAlignment="1" applyProtection="1">
      <alignment horizontal="center" vertical="center" wrapText="1"/>
      <protection hidden="1"/>
    </xf>
    <xf numFmtId="0" fontId="40" fillId="0" borderId="19" xfId="0" applyFont="1" applyBorder="1" applyAlignment="1" applyProtection="1">
      <alignment horizontal="center" vertical="center" wrapText="1"/>
      <protection hidden="1"/>
    </xf>
    <xf numFmtId="0" fontId="117" fillId="0" borderId="19" xfId="0" applyFont="1" applyBorder="1" applyAlignment="1" applyProtection="1">
      <alignment horizontal="center" vertical="center" wrapText="1"/>
      <protection hidden="1"/>
    </xf>
    <xf numFmtId="0" fontId="14" fillId="20" borderId="4" xfId="0" applyFont="1" applyFill="1" applyBorder="1" applyAlignment="1" applyProtection="1">
      <alignment horizontal="center" vertical="center" wrapText="1"/>
      <protection locked="0"/>
    </xf>
    <xf numFmtId="0" fontId="1" fillId="12" borderId="9" xfId="0" applyFont="1" applyFill="1" applyBorder="1" applyAlignment="1" applyProtection="1">
      <alignment horizontal="center" vertical="center" wrapText="1"/>
      <protection locked="0"/>
    </xf>
    <xf numFmtId="0" fontId="1" fillId="12" borderId="4" xfId="0" applyFont="1" applyFill="1" applyBorder="1" applyAlignment="1" applyProtection="1">
      <alignment horizontal="center" vertical="center" wrapText="1"/>
      <protection locked="0"/>
    </xf>
    <xf numFmtId="0" fontId="133" fillId="9" borderId="4" xfId="5" applyFont="1" applyFill="1" applyBorder="1" applyAlignment="1" applyProtection="1">
      <alignment vertical="center" wrapText="1"/>
      <protection locked="0"/>
    </xf>
    <xf numFmtId="0" fontId="53" fillId="9" borderId="4" xfId="5" applyFont="1" applyFill="1" applyBorder="1" applyAlignment="1" applyProtection="1">
      <alignment vertical="center" wrapText="1"/>
      <protection locked="0"/>
    </xf>
    <xf numFmtId="0" fontId="53" fillId="9" borderId="4" xfId="5" applyFont="1" applyFill="1" applyBorder="1" applyAlignment="1" applyProtection="1">
      <alignment horizontal="center" vertical="center" wrapText="1"/>
      <protection locked="0"/>
    </xf>
    <xf numFmtId="10" fontId="9" fillId="9" borderId="4" xfId="5" applyNumberFormat="1" applyFont="1" applyFill="1" applyBorder="1" applyAlignment="1" applyProtection="1">
      <alignment horizontal="center" vertical="center" wrapText="1"/>
      <protection locked="0"/>
    </xf>
    <xf numFmtId="0" fontId="53" fillId="70" borderId="4" xfId="5" applyFont="1" applyFill="1" applyBorder="1" applyAlignment="1" applyProtection="1">
      <alignment horizontal="center" vertical="center" wrapText="1"/>
      <protection locked="0"/>
    </xf>
    <xf numFmtId="9" fontId="53" fillId="70" borderId="4" xfId="5" applyNumberFormat="1" applyFont="1" applyFill="1" applyBorder="1" applyAlignment="1" applyProtection="1">
      <alignment horizontal="center" vertical="center" wrapText="1"/>
      <protection locked="0"/>
    </xf>
    <xf numFmtId="10" fontId="9" fillId="70" borderId="4" xfId="5" applyNumberFormat="1" applyFont="1" applyFill="1" applyBorder="1" applyAlignment="1" applyProtection="1">
      <alignment horizontal="center" vertical="center" wrapText="1"/>
      <protection locked="0"/>
    </xf>
    <xf numFmtId="0" fontId="129" fillId="9" borderId="4" xfId="5" applyFont="1" applyFill="1" applyBorder="1" applyAlignment="1" applyProtection="1">
      <alignment vertical="center" wrapText="1"/>
      <protection locked="0"/>
    </xf>
    <xf numFmtId="167" fontId="9" fillId="9" borderId="4" xfId="18" applyNumberFormat="1" applyFont="1" applyFill="1" applyBorder="1" applyAlignment="1" applyProtection="1">
      <alignment horizontal="center" vertical="center" wrapText="1"/>
      <protection locked="0"/>
    </xf>
    <xf numFmtId="0" fontId="53" fillId="9" borderId="4" xfId="5" applyFont="1" applyFill="1" applyBorder="1" applyAlignment="1" applyProtection="1">
      <alignment horizontal="left" vertical="center" wrapText="1"/>
      <protection locked="0"/>
    </xf>
    <xf numFmtId="0" fontId="14" fillId="13" borderId="33" xfId="0" applyFont="1" applyFill="1" applyBorder="1" applyProtection="1">
      <protection hidden="1"/>
    </xf>
    <xf numFmtId="0" fontId="14" fillId="13" borderId="13" xfId="0" applyFont="1" applyFill="1" applyBorder="1" applyProtection="1">
      <protection hidden="1"/>
    </xf>
    <xf numFmtId="14" fontId="14" fillId="13" borderId="13" xfId="0" applyNumberFormat="1" applyFont="1" applyFill="1" applyBorder="1" applyProtection="1">
      <protection hidden="1"/>
    </xf>
    <xf numFmtId="0" fontId="30" fillId="18" borderId="57" xfId="0" applyFont="1" applyFill="1" applyBorder="1" applyAlignment="1" applyProtection="1">
      <alignment horizontal="center" vertical="center" wrapText="1"/>
      <protection hidden="1"/>
    </xf>
    <xf numFmtId="0" fontId="30" fillId="18" borderId="58" xfId="0" applyFont="1" applyFill="1" applyBorder="1" applyAlignment="1" applyProtection="1">
      <alignment horizontal="center" vertical="center" wrapText="1"/>
      <protection hidden="1"/>
    </xf>
    <xf numFmtId="10" fontId="14" fillId="0" borderId="14" xfId="2" applyNumberFormat="1" applyFont="1" applyFill="1" applyBorder="1" applyProtection="1">
      <protection hidden="1"/>
    </xf>
    <xf numFmtId="10" fontId="14" fillId="0" borderId="24" xfId="2" applyNumberFormat="1" applyFont="1" applyFill="1" applyBorder="1" applyProtection="1">
      <protection hidden="1"/>
    </xf>
    <xf numFmtId="10" fontId="14" fillId="0" borderId="57" xfId="0" applyNumberFormat="1" applyFont="1" applyBorder="1" applyProtection="1">
      <protection hidden="1"/>
    </xf>
    <xf numFmtId="170" fontId="14" fillId="0" borderId="61" xfId="2" applyNumberFormat="1" applyFont="1" applyFill="1" applyBorder="1" applyProtection="1">
      <protection hidden="1"/>
    </xf>
    <xf numFmtId="170" fontId="14" fillId="0" borderId="85" xfId="2" applyNumberFormat="1" applyFont="1" applyFill="1" applyBorder="1" applyProtection="1">
      <protection hidden="1"/>
    </xf>
    <xf numFmtId="170" fontId="14" fillId="0" borderId="58" xfId="2" applyNumberFormat="1" applyFont="1" applyFill="1" applyBorder="1" applyProtection="1">
      <protection hidden="1"/>
    </xf>
    <xf numFmtId="170" fontId="14" fillId="0" borderId="60" xfId="2" applyNumberFormat="1" applyFont="1" applyFill="1" applyBorder="1" applyProtection="1">
      <protection hidden="1"/>
    </xf>
    <xf numFmtId="170" fontId="14" fillId="0" borderId="4" xfId="2" applyNumberFormat="1" applyFont="1" applyFill="1" applyBorder="1" applyProtection="1">
      <protection hidden="1"/>
    </xf>
    <xf numFmtId="170" fontId="14" fillId="0" borderId="20" xfId="2" applyNumberFormat="1" applyFont="1" applyFill="1" applyBorder="1" applyProtection="1">
      <protection hidden="1"/>
    </xf>
    <xf numFmtId="170" fontId="14" fillId="0" borderId="83" xfId="2" applyNumberFormat="1" applyFont="1" applyFill="1" applyBorder="1" applyProtection="1">
      <protection hidden="1"/>
    </xf>
    <xf numFmtId="170" fontId="14" fillId="0" borderId="64" xfId="2" applyNumberFormat="1" applyFont="1" applyFill="1" applyBorder="1" applyProtection="1">
      <protection hidden="1"/>
    </xf>
    <xf numFmtId="170" fontId="14" fillId="0" borderId="67" xfId="2" applyNumberFormat="1" applyFont="1" applyFill="1" applyBorder="1" applyProtection="1">
      <protection hidden="1"/>
    </xf>
    <xf numFmtId="0" fontId="14" fillId="0" borderId="69" xfId="0" applyFont="1" applyBorder="1" applyProtection="1">
      <protection hidden="1"/>
    </xf>
    <xf numFmtId="165" fontId="14" fillId="0" borderId="57" xfId="1" applyFont="1" applyBorder="1" applyProtection="1">
      <protection hidden="1"/>
    </xf>
    <xf numFmtId="9" fontId="14" fillId="0" borderId="57" xfId="2" applyFont="1" applyFill="1" applyBorder="1" applyProtection="1">
      <protection hidden="1"/>
    </xf>
    <xf numFmtId="0" fontId="25" fillId="0" borderId="53" xfId="0" applyFont="1" applyBorder="1" applyAlignment="1" applyProtection="1">
      <alignment horizontal="center"/>
      <protection hidden="1"/>
    </xf>
    <xf numFmtId="44" fontId="14" fillId="0" borderId="53" xfId="17" applyFont="1" applyBorder="1" applyProtection="1">
      <protection hidden="1"/>
    </xf>
    <xf numFmtId="44" fontId="14" fillId="0" borderId="114" xfId="17" applyFont="1" applyBorder="1" applyAlignment="1" applyProtection="1">
      <alignment vertical="center"/>
      <protection hidden="1"/>
    </xf>
    <xf numFmtId="44" fontId="14" fillId="0" borderId="67" xfId="17" applyFont="1" applyBorder="1" applyAlignment="1" applyProtection="1">
      <alignment vertical="center"/>
      <protection hidden="1"/>
    </xf>
    <xf numFmtId="0" fontId="30" fillId="36" borderId="60" xfId="0" applyFont="1" applyFill="1" applyBorder="1" applyAlignment="1" applyProtection="1">
      <alignment horizontal="center" vertical="center" wrapText="1"/>
      <protection hidden="1"/>
    </xf>
    <xf numFmtId="0" fontId="31" fillId="36" borderId="70" xfId="0" applyFont="1" applyFill="1" applyBorder="1" applyAlignment="1" applyProtection="1">
      <alignment horizontal="center" vertical="center" wrapText="1"/>
      <protection hidden="1"/>
    </xf>
    <xf numFmtId="165" fontId="33" fillId="0" borderId="4" xfId="0" applyNumberFormat="1" applyFont="1" applyBorder="1" applyAlignment="1" applyProtection="1">
      <alignment vertical="center" wrapText="1"/>
      <protection hidden="1"/>
    </xf>
    <xf numFmtId="165" fontId="33" fillId="0" borderId="63" xfId="0" applyNumberFormat="1" applyFont="1" applyBorder="1" applyAlignment="1" applyProtection="1">
      <alignment vertical="center" wrapText="1"/>
      <protection hidden="1"/>
    </xf>
    <xf numFmtId="9" fontId="33" fillId="0" borderId="63" xfId="2" applyFont="1" applyBorder="1" applyAlignment="1" applyProtection="1">
      <alignment horizontal="center" vertical="center" wrapText="1"/>
      <protection hidden="1"/>
    </xf>
    <xf numFmtId="44" fontId="33" fillId="0" borderId="4" xfId="0" applyNumberFormat="1" applyFont="1" applyBorder="1" applyAlignment="1" applyProtection="1">
      <alignment vertical="center" wrapText="1"/>
      <protection hidden="1"/>
    </xf>
    <xf numFmtId="44" fontId="33" fillId="0" borderId="63" xfId="0" applyNumberFormat="1" applyFont="1" applyBorder="1" applyAlignment="1" applyProtection="1">
      <alignment vertical="center" wrapText="1"/>
      <protection hidden="1"/>
    </xf>
    <xf numFmtId="8" fontId="33" fillId="0" borderId="4" xfId="0" applyNumberFormat="1" applyFont="1" applyBorder="1" applyAlignment="1" applyProtection="1">
      <alignment vertical="center" wrapText="1"/>
      <protection hidden="1"/>
    </xf>
    <xf numFmtId="170" fontId="33" fillId="0" borderId="63" xfId="2" applyNumberFormat="1" applyFont="1" applyBorder="1" applyAlignment="1" applyProtection="1">
      <alignment horizontal="center" vertical="center" wrapText="1"/>
      <protection hidden="1"/>
    </xf>
    <xf numFmtId="44" fontId="40" fillId="0" borderId="20" xfId="0" applyNumberFormat="1" applyFont="1" applyBorder="1" applyAlignment="1" applyProtection="1">
      <alignment vertical="center" wrapText="1"/>
      <protection hidden="1"/>
    </xf>
    <xf numFmtId="165" fontId="33" fillId="0" borderId="64" xfId="0" applyNumberFormat="1" applyFont="1" applyBorder="1" applyAlignment="1" applyProtection="1">
      <alignment vertical="center" wrapText="1"/>
      <protection hidden="1"/>
    </xf>
    <xf numFmtId="9" fontId="33" fillId="0" borderId="64" xfId="2" applyFont="1" applyBorder="1" applyAlignment="1" applyProtection="1">
      <alignment horizontal="center" vertical="center" wrapText="1"/>
      <protection hidden="1"/>
    </xf>
    <xf numFmtId="165" fontId="33" fillId="0" borderId="71" xfId="0" applyNumberFormat="1" applyFont="1" applyBorder="1" applyAlignment="1" applyProtection="1">
      <alignment vertical="center" wrapText="1"/>
      <protection hidden="1"/>
    </xf>
    <xf numFmtId="165" fontId="33" fillId="0" borderId="54" xfId="0" applyNumberFormat="1" applyFont="1" applyBorder="1" applyAlignment="1" applyProtection="1">
      <alignment vertical="center" wrapText="1"/>
      <protection hidden="1"/>
    </xf>
    <xf numFmtId="9" fontId="33" fillId="0" borderId="54" xfId="2" applyFont="1" applyBorder="1" applyAlignment="1" applyProtection="1">
      <alignment horizontal="center" vertical="center" wrapText="1"/>
      <protection hidden="1"/>
    </xf>
    <xf numFmtId="0" fontId="25" fillId="13" borderId="0" xfId="0" applyFont="1" applyFill="1" applyAlignment="1" applyProtection="1">
      <alignment horizontal="left"/>
      <protection locked="0"/>
    </xf>
    <xf numFmtId="0" fontId="25" fillId="13" borderId="11" xfId="0" applyFont="1" applyFill="1" applyBorder="1" applyProtection="1">
      <protection locked="0"/>
    </xf>
    <xf numFmtId="0" fontId="25" fillId="13" borderId="12" xfId="0" applyFont="1" applyFill="1" applyBorder="1" applyProtection="1">
      <protection locked="0"/>
    </xf>
    <xf numFmtId="0" fontId="14" fillId="13" borderId="0" xfId="0" applyFont="1" applyFill="1" applyAlignment="1" applyProtection="1">
      <alignment horizontal="left"/>
      <protection locked="0"/>
    </xf>
    <xf numFmtId="0" fontId="49" fillId="0" borderId="0" xfId="5" applyFont="1" applyAlignment="1" applyProtection="1">
      <alignment horizontal="center" vertical="center"/>
      <protection hidden="1"/>
    </xf>
    <xf numFmtId="0" fontId="10" fillId="0" borderId="0" xfId="5" applyFont="1" applyAlignment="1" applyProtection="1">
      <alignment horizontal="center" vertical="center"/>
      <protection hidden="1"/>
    </xf>
    <xf numFmtId="9" fontId="49" fillId="0" borderId="0" xfId="7" applyFont="1" applyAlignment="1" applyProtection="1">
      <alignment horizontal="center" vertical="center"/>
      <protection hidden="1"/>
    </xf>
    <xf numFmtId="167" fontId="49" fillId="0" borderId="0" xfId="4" applyNumberFormat="1" applyFont="1" applyAlignment="1" applyProtection="1">
      <alignment horizontal="center" vertical="center"/>
      <protection hidden="1"/>
    </xf>
    <xf numFmtId="167" fontId="49" fillId="0" borderId="0" xfId="4" applyNumberFormat="1" applyFont="1" applyFill="1" applyAlignment="1" applyProtection="1">
      <alignment vertical="center"/>
      <protection hidden="1"/>
    </xf>
    <xf numFmtId="167" fontId="49" fillId="0" borderId="0" xfId="4" applyNumberFormat="1" applyFont="1" applyAlignment="1" applyProtection="1">
      <alignment vertical="center"/>
      <protection hidden="1"/>
    </xf>
    <xf numFmtId="0" fontId="27" fillId="0" borderId="0" xfId="5" applyFont="1" applyAlignment="1" applyProtection="1">
      <alignment horizontal="center" vertical="center" wrapText="1"/>
      <protection hidden="1"/>
    </xf>
    <xf numFmtId="10" fontId="27" fillId="0" borderId="0" xfId="5" applyNumberFormat="1" applyFont="1" applyAlignment="1" applyProtection="1">
      <alignment vertical="center" wrapText="1"/>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center" wrapText="1"/>
      <protection hidden="1"/>
    </xf>
    <xf numFmtId="0" fontId="0" fillId="20" borderId="0" xfId="0" applyFill="1"/>
    <xf numFmtId="0" fontId="14" fillId="20" borderId="0" xfId="0" applyFont="1" applyFill="1" applyAlignment="1">
      <alignment horizontal="center"/>
    </xf>
    <xf numFmtId="0" fontId="14" fillId="0" borderId="4" xfId="0" applyFont="1" applyBorder="1" applyAlignment="1" applyProtection="1">
      <alignment horizontal="center" vertical="center"/>
      <protection locked="0"/>
    </xf>
    <xf numFmtId="0" fontId="0" fillId="0" borderId="0" xfId="0" applyAlignment="1">
      <alignment horizontal="center"/>
    </xf>
    <xf numFmtId="0" fontId="25" fillId="20" borderId="0" xfId="0" applyFont="1" applyFill="1" applyAlignment="1">
      <alignment wrapText="1"/>
    </xf>
    <xf numFmtId="0" fontId="25" fillId="0" borderId="89" xfId="0" applyFont="1" applyBorder="1"/>
    <xf numFmtId="0" fontId="14" fillId="0" borderId="13" xfId="0" applyFont="1" applyBorder="1" applyAlignment="1" applyProtection="1">
      <alignment horizontal="left"/>
      <protection hidden="1"/>
    </xf>
    <xf numFmtId="0" fontId="25" fillId="0" borderId="0" xfId="0" applyFont="1" applyAlignment="1" applyProtection="1">
      <alignment horizontal="center" vertical="center" wrapText="1"/>
      <protection locked="0"/>
    </xf>
    <xf numFmtId="0" fontId="71" fillId="36" borderId="4" xfId="0" applyFont="1" applyFill="1" applyBorder="1" applyAlignment="1" applyProtection="1">
      <alignment horizontal="center" vertical="center"/>
      <protection locked="0"/>
    </xf>
    <xf numFmtId="0" fontId="33" fillId="0" borderId="4" xfId="0" applyFont="1" applyBorder="1" applyAlignment="1" applyProtection="1">
      <alignment horizontal="left" vertical="center"/>
      <protection locked="0"/>
    </xf>
    <xf numFmtId="42" fontId="117" fillId="51" borderId="4" xfId="37" applyFont="1" applyFill="1" applyBorder="1" applyAlignment="1" applyProtection="1">
      <alignment horizontal="right" vertical="center" wrapText="1"/>
      <protection locked="0"/>
    </xf>
    <xf numFmtId="42" fontId="110" fillId="56" borderId="4" xfId="37" applyFont="1" applyFill="1" applyBorder="1" applyAlignment="1">
      <alignment horizontal="right" vertical="center" wrapText="1"/>
    </xf>
    <xf numFmtId="42" fontId="117" fillId="53" borderId="66" xfId="37" applyFont="1" applyFill="1" applyBorder="1" applyAlignment="1">
      <alignment horizontal="right" vertical="center" wrapText="1"/>
    </xf>
    <xf numFmtId="42" fontId="10" fillId="13" borderId="4" xfId="37" applyFont="1" applyFill="1" applyBorder="1" applyAlignment="1">
      <alignment vertical="center" wrapText="1"/>
    </xf>
    <xf numFmtId="42" fontId="20" fillId="53" borderId="4" xfId="37" applyFont="1" applyFill="1" applyBorder="1" applyAlignment="1" applyProtection="1">
      <alignment vertical="center" wrapText="1"/>
      <protection hidden="1"/>
    </xf>
    <xf numFmtId="42" fontId="10" fillId="0" borderId="4" xfId="37" applyFont="1" applyBorder="1" applyAlignment="1" applyProtection="1">
      <alignment horizontal="right" vertical="center" wrapText="1"/>
      <protection hidden="1"/>
    </xf>
    <xf numFmtId="42" fontId="10" fillId="13" borderId="4" xfId="37" applyFont="1" applyFill="1" applyBorder="1" applyAlignment="1" applyProtection="1">
      <alignment horizontal="right" vertical="center" wrapText="1"/>
      <protection hidden="1"/>
    </xf>
    <xf numFmtId="43" fontId="110" fillId="30" borderId="69" xfId="18" applyFont="1" applyFill="1" applyBorder="1" applyAlignment="1" applyProtection="1">
      <alignment horizontal="center"/>
      <protection locked="0"/>
    </xf>
    <xf numFmtId="0" fontId="14" fillId="0" borderId="13" xfId="0" applyFont="1" applyBorder="1" applyAlignment="1" applyProtection="1">
      <alignment horizontal="left" vertical="center"/>
      <protection locked="0"/>
    </xf>
    <xf numFmtId="14" fontId="14" fillId="0" borderId="13" xfId="0" applyNumberFormat="1" applyFont="1" applyBorder="1" applyAlignment="1" applyProtection="1">
      <alignment horizontal="left" vertical="center"/>
      <protection locked="0"/>
    </xf>
    <xf numFmtId="0" fontId="14" fillId="0" borderId="33" xfId="0" applyFont="1" applyBorder="1" applyAlignment="1" applyProtection="1">
      <alignment horizontal="center"/>
      <protection hidden="1"/>
    </xf>
    <xf numFmtId="0" fontId="1" fillId="4" borderId="4" xfId="0" applyFont="1" applyFill="1" applyBorder="1" applyAlignment="1" applyProtection="1">
      <alignment horizontal="center" vertical="center" wrapText="1"/>
      <protection locked="0"/>
    </xf>
    <xf numFmtId="43" fontId="0" fillId="36" borderId="4" xfId="18" applyFont="1" applyFill="1" applyBorder="1" applyAlignment="1" applyProtection="1">
      <alignment vertical="center"/>
      <protection locked="0"/>
    </xf>
    <xf numFmtId="0" fontId="69" fillId="0" borderId="4" xfId="0" applyFont="1" applyFill="1" applyBorder="1" applyAlignment="1" applyProtection="1">
      <alignment horizontal="center"/>
      <protection locked="0"/>
    </xf>
    <xf numFmtId="0" fontId="69" fillId="0" borderId="4" xfId="0" applyFont="1" applyFill="1" applyBorder="1" applyProtection="1">
      <protection locked="0"/>
    </xf>
    <xf numFmtId="177" fontId="69" fillId="0" borderId="4" xfId="17" applyNumberFormat="1" applyFont="1" applyBorder="1" applyProtection="1">
      <protection locked="0"/>
    </xf>
    <xf numFmtId="167" fontId="69" fillId="0" borderId="4" xfId="0" applyNumberFormat="1" applyFont="1" applyFill="1" applyBorder="1" applyAlignment="1">
      <alignment horizontal="right" vertical="center"/>
    </xf>
    <xf numFmtId="170" fontId="69" fillId="0" borderId="4" xfId="2" applyNumberFormat="1" applyFont="1" applyFill="1" applyBorder="1" applyAlignment="1">
      <alignment horizontal="center" vertical="center" wrapText="1"/>
    </xf>
    <xf numFmtId="9" fontId="69" fillId="0" borderId="4" xfId="2" applyFont="1" applyBorder="1" applyAlignment="1" applyProtection="1">
      <alignment horizontal="center"/>
      <protection locked="0"/>
    </xf>
    <xf numFmtId="170" fontId="69" fillId="0" borderId="4" xfId="0" applyNumberFormat="1" applyFont="1" applyBorder="1" applyAlignment="1" applyProtection="1">
      <alignment horizontal="center"/>
      <protection locked="0"/>
    </xf>
    <xf numFmtId="177" fontId="69" fillId="0" borderId="4" xfId="17" applyNumberFormat="1" applyFont="1" applyBorder="1" applyAlignment="1" applyProtection="1">
      <alignment horizontal="center"/>
      <protection locked="0"/>
    </xf>
    <xf numFmtId="9" fontId="69" fillId="0" borderId="4" xfId="0" applyNumberFormat="1" applyFont="1" applyBorder="1" applyAlignment="1" applyProtection="1">
      <alignment horizontal="center"/>
      <protection locked="0"/>
    </xf>
    <xf numFmtId="177" fontId="69" fillId="0" borderId="0" xfId="17" applyNumberFormat="1" applyFont="1" applyBorder="1" applyProtection="1">
      <protection locked="0"/>
    </xf>
    <xf numFmtId="0" fontId="14" fillId="0" borderId="0" xfId="0" applyFont="1" applyAlignment="1" applyProtection="1">
      <alignment vertical="center" wrapText="1"/>
      <protection locked="0"/>
    </xf>
    <xf numFmtId="0" fontId="50" fillId="0" borderId="4" xfId="0" applyNumberFormat="1" applyFont="1" applyFill="1" applyBorder="1" applyAlignment="1">
      <alignment horizontal="center"/>
    </xf>
    <xf numFmtId="0" fontId="50" fillId="0" borderId="4" xfId="0" applyFont="1" applyFill="1" applyBorder="1" applyAlignment="1">
      <alignment horizontal="left"/>
    </xf>
    <xf numFmtId="0" fontId="69" fillId="0" borderId="167" xfId="0" applyFont="1" applyBorder="1" applyAlignment="1" applyProtection="1">
      <alignment vertical="center" wrapText="1"/>
      <protection locked="0"/>
    </xf>
    <xf numFmtId="0" fontId="185" fillId="0" borderId="4" xfId="0" applyFont="1" applyBorder="1" applyAlignment="1" applyProtection="1">
      <alignment vertical="center" wrapText="1"/>
      <protection locked="0"/>
    </xf>
    <xf numFmtId="0" fontId="50" fillId="0" borderId="4" xfId="0" applyFont="1" applyFill="1" applyBorder="1" applyAlignment="1">
      <alignment horizontal="center"/>
    </xf>
    <xf numFmtId="0" fontId="116" fillId="0" borderId="4" xfId="0" applyFont="1" applyFill="1" applyBorder="1" applyAlignment="1"/>
    <xf numFmtId="0" fontId="69" fillId="0" borderId="171" xfId="0" applyFont="1" applyBorder="1" applyAlignment="1" applyProtection="1">
      <alignment horizontal="left" vertical="center" wrapText="1"/>
      <protection locked="0"/>
    </xf>
    <xf numFmtId="0" fontId="69" fillId="0" borderId="14" xfId="0" applyFont="1" applyBorder="1" applyAlignment="1" applyProtection="1">
      <alignment horizontal="left" vertical="center" wrapText="1"/>
      <protection locked="0"/>
    </xf>
    <xf numFmtId="14" fontId="14" fillId="0" borderId="33" xfId="0" applyNumberFormat="1" applyFont="1" applyBorder="1" applyAlignment="1" applyProtection="1">
      <alignment horizontal="center"/>
      <protection hidden="1"/>
    </xf>
    <xf numFmtId="0" fontId="35" fillId="0" borderId="0" xfId="0" applyFont="1" applyAlignment="1" applyProtection="1">
      <alignment horizontal="center" vertical="center" wrapText="1"/>
      <protection locked="0"/>
    </xf>
    <xf numFmtId="0" fontId="47" fillId="0" borderId="0" xfId="0" applyFont="1" applyAlignment="1" applyProtection="1">
      <alignment horizontal="center" vertical="center"/>
      <protection locked="0"/>
    </xf>
    <xf numFmtId="10" fontId="69" fillId="0" borderId="4" xfId="2" applyNumberFormat="1" applyFont="1" applyFill="1" applyBorder="1" applyAlignment="1" applyProtection="1">
      <alignment horizontal="center" vertical="center"/>
      <protection locked="0"/>
    </xf>
    <xf numFmtId="3" fontId="117" fillId="13" borderId="4" xfId="0" applyNumberFormat="1" applyFont="1" applyFill="1" applyBorder="1" applyAlignment="1" applyProtection="1">
      <alignment horizontal="right" vertical="center" wrapText="1"/>
      <protection locked="0"/>
    </xf>
    <xf numFmtId="3" fontId="10" fillId="0" borderId="167" xfId="5" applyNumberFormat="1" applyFont="1" applyBorder="1" applyAlignment="1">
      <alignment vertical="center" wrapText="1"/>
    </xf>
    <xf numFmtId="3" fontId="10" fillId="0" borderId="4" xfId="5" applyNumberFormat="1" applyFont="1" applyBorder="1" applyAlignment="1">
      <alignment vertical="center" wrapText="1"/>
    </xf>
    <xf numFmtId="3" fontId="1" fillId="0" borderId="4" xfId="5" applyNumberFormat="1" applyFont="1" applyFill="1" applyBorder="1" applyAlignment="1" applyProtection="1">
      <alignment vertical="center" wrapText="1"/>
      <protection locked="0"/>
    </xf>
    <xf numFmtId="167" fontId="61" fillId="32" borderId="4" xfId="24" applyNumberFormat="1" applyFont="1" applyFill="1" applyBorder="1" applyAlignment="1">
      <alignment horizontal="center" vertical="center"/>
    </xf>
    <xf numFmtId="0" fontId="47" fillId="0" borderId="4" xfId="0" applyFont="1" applyBorder="1" applyAlignment="1" applyProtection="1">
      <alignment horizontal="left" vertical="center" wrapText="1"/>
      <protection hidden="1"/>
    </xf>
    <xf numFmtId="0" fontId="25" fillId="0" borderId="0" xfId="0" applyFont="1" applyAlignment="1">
      <alignment horizontal="center"/>
    </xf>
    <xf numFmtId="0" fontId="0" fillId="0" borderId="0" xfId="0" applyAlignment="1">
      <alignment horizontal="left" vertical="top" wrapText="1"/>
    </xf>
    <xf numFmtId="0" fontId="110" fillId="59" borderId="99" xfId="5" applyFont="1" applyFill="1" applyBorder="1" applyAlignment="1" applyProtection="1">
      <alignment horizontal="center" vertical="center" wrapText="1"/>
      <protection hidden="1"/>
    </xf>
    <xf numFmtId="0" fontId="110" fillId="59" borderId="100" xfId="5" applyFont="1" applyFill="1" applyBorder="1" applyAlignment="1" applyProtection="1">
      <alignment horizontal="center" vertical="center" wrapText="1"/>
      <protection hidden="1"/>
    </xf>
    <xf numFmtId="0" fontId="110" fillId="59" borderId="6" xfId="5" applyFont="1" applyFill="1" applyBorder="1" applyAlignment="1" applyProtection="1">
      <alignment horizontal="center" vertical="center" wrapText="1"/>
      <protection hidden="1"/>
    </xf>
    <xf numFmtId="0" fontId="110" fillId="59" borderId="103" xfId="5" applyFont="1" applyFill="1" applyBorder="1" applyAlignment="1" applyProtection="1">
      <alignment horizontal="center" vertical="center" wrapText="1"/>
      <protection hidden="1"/>
    </xf>
    <xf numFmtId="0" fontId="110" fillId="59" borderId="2" xfId="5" applyFont="1" applyFill="1" applyBorder="1" applyAlignment="1" applyProtection="1">
      <alignment horizontal="center" vertical="center" wrapText="1"/>
      <protection hidden="1"/>
    </xf>
    <xf numFmtId="0" fontId="110" fillId="59" borderId="142" xfId="5" applyFont="1" applyFill="1" applyBorder="1" applyAlignment="1" applyProtection="1">
      <alignment horizontal="center" vertical="center" wrapText="1"/>
      <protection hidden="1"/>
    </xf>
    <xf numFmtId="0" fontId="110" fillId="33" borderId="100" xfId="5" applyFont="1" applyFill="1" applyBorder="1" applyAlignment="1" applyProtection="1">
      <alignment horizontal="center" vertical="center" wrapText="1"/>
      <protection hidden="1"/>
    </xf>
    <xf numFmtId="0" fontId="110" fillId="33" borderId="6" xfId="5" applyFont="1" applyFill="1" applyBorder="1" applyAlignment="1" applyProtection="1">
      <alignment horizontal="center" vertical="center" wrapText="1"/>
      <protection hidden="1"/>
    </xf>
    <xf numFmtId="0" fontId="110" fillId="33" borderId="2" xfId="5" applyFont="1" applyFill="1" applyBorder="1" applyAlignment="1" applyProtection="1">
      <alignment horizontal="center" vertical="center" wrapText="1"/>
      <protection hidden="1"/>
    </xf>
    <xf numFmtId="0" fontId="110" fillId="33" borderId="142" xfId="5" applyFont="1" applyFill="1" applyBorder="1" applyAlignment="1" applyProtection="1">
      <alignment horizontal="center" vertical="center" wrapText="1"/>
      <protection hidden="1"/>
    </xf>
    <xf numFmtId="0" fontId="110" fillId="33" borderId="127" xfId="5" applyFont="1" applyFill="1" applyBorder="1" applyAlignment="1" applyProtection="1">
      <alignment horizontal="center" vertical="center" wrapText="1"/>
      <protection hidden="1"/>
    </xf>
    <xf numFmtId="0" fontId="110" fillId="33" borderId="125" xfId="5" applyFont="1" applyFill="1" applyBorder="1" applyAlignment="1" applyProtection="1">
      <alignment horizontal="center" vertical="center" wrapText="1"/>
      <protection hidden="1"/>
    </xf>
    <xf numFmtId="10" fontId="117" fillId="36" borderId="28" xfId="7" applyNumberFormat="1" applyFont="1" applyFill="1" applyBorder="1" applyAlignment="1" applyProtection="1">
      <alignment horizontal="center"/>
      <protection hidden="1"/>
    </xf>
    <xf numFmtId="10" fontId="117" fillId="36" borderId="133" xfId="7" applyNumberFormat="1" applyFont="1" applyFill="1" applyBorder="1" applyAlignment="1" applyProtection="1">
      <alignment horizontal="center"/>
      <protection hidden="1"/>
    </xf>
    <xf numFmtId="10" fontId="117" fillId="36" borderId="15" xfId="7" applyNumberFormat="1" applyFont="1" applyFill="1" applyBorder="1" applyAlignment="1" applyProtection="1">
      <alignment horizontal="center"/>
      <protection hidden="1"/>
    </xf>
    <xf numFmtId="0" fontId="25" fillId="5" borderId="38" xfId="5" applyFont="1" applyFill="1" applyBorder="1" applyAlignment="1" applyProtection="1">
      <alignment horizontal="center" vertical="center" wrapText="1"/>
      <protection hidden="1"/>
    </xf>
    <xf numFmtId="0" fontId="25" fillId="5" borderId="39" xfId="5" applyFont="1" applyFill="1" applyBorder="1" applyAlignment="1" applyProtection="1">
      <alignment horizontal="center" vertical="center" wrapText="1"/>
      <protection hidden="1"/>
    </xf>
    <xf numFmtId="0" fontId="25" fillId="5" borderId="40" xfId="5" applyFont="1" applyFill="1" applyBorder="1" applyAlignment="1" applyProtection="1">
      <alignment horizontal="center" vertical="center" wrapText="1"/>
      <protection hidden="1"/>
    </xf>
    <xf numFmtId="0" fontId="25" fillId="5" borderId="49" xfId="5" applyFont="1" applyFill="1" applyBorder="1" applyAlignment="1" applyProtection="1">
      <alignment horizontal="center" vertical="center" wrapText="1"/>
      <protection hidden="1"/>
    </xf>
    <xf numFmtId="0" fontId="25" fillId="5" borderId="16" xfId="5" applyFont="1" applyFill="1" applyBorder="1" applyAlignment="1" applyProtection="1">
      <alignment horizontal="center" vertical="center" wrapText="1"/>
      <protection hidden="1"/>
    </xf>
    <xf numFmtId="0" fontId="25" fillId="5" borderId="29" xfId="5" applyFont="1" applyFill="1" applyBorder="1" applyAlignment="1" applyProtection="1">
      <alignment horizontal="center" vertical="center" wrapText="1"/>
      <protection hidden="1"/>
    </xf>
    <xf numFmtId="0" fontId="25" fillId="5" borderId="25" xfId="5" applyFont="1" applyFill="1" applyBorder="1" applyAlignment="1" applyProtection="1">
      <alignment horizontal="center" vertical="center" wrapText="1"/>
      <protection hidden="1"/>
    </xf>
    <xf numFmtId="170" fontId="65" fillId="65" borderId="128" xfId="5" applyNumberFormat="1" applyFont="1" applyFill="1" applyBorder="1" applyAlignment="1" applyProtection="1">
      <alignment horizontal="center" vertical="center" wrapText="1"/>
      <protection hidden="1"/>
    </xf>
    <xf numFmtId="0" fontId="117" fillId="5" borderId="143" xfId="5" applyFont="1" applyFill="1" applyBorder="1" applyAlignment="1" applyProtection="1">
      <alignment horizontal="left" vertical="center" wrapText="1"/>
      <protection hidden="1"/>
    </xf>
    <xf numFmtId="0" fontId="117" fillId="5" borderId="14" xfId="5" applyFont="1" applyFill="1" applyBorder="1" applyAlignment="1" applyProtection="1">
      <alignment horizontal="left" vertical="center" wrapText="1"/>
      <protection hidden="1"/>
    </xf>
    <xf numFmtId="9" fontId="27" fillId="15" borderId="143" xfId="7" applyFont="1" applyFill="1" applyBorder="1" applyAlignment="1" applyProtection="1">
      <alignment horizontal="center" vertical="center" wrapText="1"/>
      <protection hidden="1"/>
    </xf>
    <xf numFmtId="9" fontId="27" fillId="15" borderId="14" xfId="7" applyFont="1" applyFill="1" applyBorder="1" applyAlignment="1" applyProtection="1">
      <alignment horizontal="center" vertical="center" wrapText="1"/>
      <protection hidden="1"/>
    </xf>
    <xf numFmtId="10" fontId="117" fillId="5" borderId="143" xfId="7" applyNumberFormat="1" applyFont="1" applyFill="1" applyBorder="1" applyAlignment="1" applyProtection="1">
      <alignment horizontal="center" vertical="center" wrapText="1"/>
      <protection hidden="1"/>
    </xf>
    <xf numFmtId="10" fontId="117" fillId="5" borderId="14" xfId="7" applyNumberFormat="1" applyFont="1" applyFill="1" applyBorder="1" applyAlignment="1" applyProtection="1">
      <alignment horizontal="center" vertical="center" wrapText="1"/>
      <protection hidden="1"/>
    </xf>
    <xf numFmtId="10" fontId="117" fillId="5" borderId="158" xfId="2" applyNumberFormat="1" applyFont="1" applyFill="1" applyBorder="1" applyAlignment="1" applyProtection="1">
      <alignment horizontal="center" vertical="center" wrapText="1"/>
      <protection hidden="1"/>
    </xf>
    <xf numFmtId="10" fontId="117" fillId="5" borderId="24" xfId="2" applyNumberFormat="1" applyFont="1" applyFill="1" applyBorder="1" applyAlignment="1" applyProtection="1">
      <alignment horizontal="center" vertical="center" wrapText="1"/>
      <protection hidden="1"/>
    </xf>
    <xf numFmtId="10" fontId="117" fillId="5" borderId="14" xfId="2" applyNumberFormat="1" applyFont="1" applyFill="1" applyBorder="1" applyAlignment="1" applyProtection="1">
      <alignment horizontal="center" vertical="center" wrapText="1"/>
      <protection hidden="1"/>
    </xf>
    <xf numFmtId="0" fontId="110" fillId="5" borderId="49" xfId="5" applyFont="1" applyFill="1" applyBorder="1" applyAlignment="1" applyProtection="1">
      <alignment horizontal="center" vertical="center" wrapText="1"/>
      <protection hidden="1"/>
    </xf>
    <xf numFmtId="0" fontId="110" fillId="5" borderId="16" xfId="5" applyFont="1" applyFill="1" applyBorder="1" applyAlignment="1" applyProtection="1">
      <alignment horizontal="center" vertical="center" wrapText="1"/>
      <protection hidden="1"/>
    </xf>
    <xf numFmtId="0" fontId="110" fillId="5" borderId="25" xfId="5" applyFont="1" applyFill="1" applyBorder="1" applyAlignment="1" applyProtection="1">
      <alignment horizontal="center" vertical="center" wrapText="1"/>
      <protection hidden="1"/>
    </xf>
    <xf numFmtId="0" fontId="110" fillId="5" borderId="163" xfId="5" applyFont="1" applyFill="1" applyBorder="1" applyAlignment="1" applyProtection="1">
      <alignment horizontal="center" vertical="center" wrapText="1"/>
      <protection hidden="1"/>
    </xf>
    <xf numFmtId="0" fontId="110" fillId="5" borderId="128" xfId="5" applyFont="1" applyFill="1" applyBorder="1" applyAlignment="1" applyProtection="1">
      <alignment horizontal="center" vertical="center" wrapText="1"/>
      <protection hidden="1"/>
    </xf>
    <xf numFmtId="0" fontId="110" fillId="5" borderId="130" xfId="5" applyFont="1" applyFill="1" applyBorder="1" applyAlignment="1" applyProtection="1">
      <alignment horizontal="center" vertical="center" wrapText="1"/>
      <protection hidden="1"/>
    </xf>
    <xf numFmtId="9" fontId="110" fillId="15" borderId="6" xfId="5" applyNumberFormat="1" applyFont="1" applyFill="1" applyBorder="1" applyAlignment="1" applyProtection="1">
      <alignment horizontal="center" vertical="center" wrapText="1"/>
      <protection hidden="1"/>
    </xf>
    <xf numFmtId="9" fontId="110" fillId="15" borderId="46" xfId="5" applyNumberFormat="1" applyFont="1" applyFill="1" applyBorder="1" applyAlignment="1" applyProtection="1">
      <alignment horizontal="center" vertical="center" wrapText="1"/>
      <protection hidden="1"/>
    </xf>
    <xf numFmtId="9" fontId="110" fillId="15" borderId="2" xfId="5" applyNumberFormat="1" applyFont="1" applyFill="1" applyBorder="1" applyAlignment="1" applyProtection="1">
      <alignment horizontal="center" vertical="center" wrapText="1"/>
      <protection hidden="1"/>
    </xf>
    <xf numFmtId="0" fontId="110" fillId="14" borderId="27" xfId="5" applyFont="1" applyFill="1" applyBorder="1" applyAlignment="1" applyProtection="1">
      <alignment horizontal="center" vertical="center" wrapText="1"/>
      <protection hidden="1"/>
    </xf>
    <xf numFmtId="0" fontId="110" fillId="14" borderId="132" xfId="5" applyFont="1" applyFill="1" applyBorder="1" applyAlignment="1" applyProtection="1">
      <alignment horizontal="center" vertical="center" wrapText="1"/>
      <protection hidden="1"/>
    </xf>
    <xf numFmtId="0" fontId="110" fillId="14" borderId="48" xfId="5" applyFont="1" applyFill="1" applyBorder="1" applyAlignment="1" applyProtection="1">
      <alignment horizontal="center" vertical="center" wrapText="1"/>
      <protection hidden="1"/>
    </xf>
    <xf numFmtId="0" fontId="110" fillId="14" borderId="156" xfId="5" applyFont="1" applyFill="1" applyBorder="1" applyAlignment="1" applyProtection="1">
      <alignment horizontal="center" vertical="center" wrapText="1"/>
      <protection hidden="1"/>
    </xf>
    <xf numFmtId="0" fontId="110" fillId="14" borderId="154" xfId="5" applyFont="1" applyFill="1" applyBorder="1" applyAlignment="1" applyProtection="1">
      <alignment horizontal="center" vertical="center" wrapText="1"/>
      <protection hidden="1"/>
    </xf>
    <xf numFmtId="0" fontId="110" fillId="14" borderId="157" xfId="5" applyFont="1" applyFill="1" applyBorder="1" applyAlignment="1" applyProtection="1">
      <alignment horizontal="center" vertical="center" wrapText="1"/>
      <protection hidden="1"/>
    </xf>
    <xf numFmtId="0" fontId="134" fillId="14" borderId="19" xfId="5" applyFont="1" applyFill="1" applyBorder="1" applyAlignment="1" applyProtection="1">
      <alignment horizontal="center" vertical="center" wrapText="1"/>
      <protection hidden="1"/>
    </xf>
    <xf numFmtId="10" fontId="117" fillId="36" borderId="143" xfId="7" applyNumberFormat="1" applyFont="1" applyFill="1" applyBorder="1" applyAlignment="1" applyProtection="1">
      <alignment horizontal="center" vertical="center"/>
      <protection hidden="1"/>
    </xf>
    <xf numFmtId="10" fontId="117" fillId="36" borderId="14" xfId="7" applyNumberFormat="1" applyFont="1" applyFill="1" applyBorder="1" applyAlignment="1" applyProtection="1">
      <alignment horizontal="center" vertical="center"/>
      <protection hidden="1"/>
    </xf>
    <xf numFmtId="9" fontId="110" fillId="15" borderId="157" xfId="5" applyNumberFormat="1" applyFont="1" applyFill="1" applyBorder="1" applyAlignment="1" applyProtection="1">
      <alignment horizontal="center" vertical="center" wrapText="1"/>
      <protection hidden="1"/>
    </xf>
    <xf numFmtId="9" fontId="110" fillId="5" borderId="156" xfId="5" applyNumberFormat="1" applyFont="1" applyFill="1" applyBorder="1" applyAlignment="1" applyProtection="1">
      <alignment horizontal="center" vertical="center" wrapText="1"/>
      <protection hidden="1"/>
    </xf>
    <xf numFmtId="9" fontId="110" fillId="5" borderId="45" xfId="5" applyNumberFormat="1" applyFont="1" applyFill="1" applyBorder="1" applyAlignment="1" applyProtection="1">
      <alignment horizontal="center" vertical="center" wrapText="1"/>
      <protection hidden="1"/>
    </xf>
    <xf numFmtId="9" fontId="110" fillId="5" borderId="31" xfId="5" applyNumberFormat="1" applyFont="1" applyFill="1" applyBorder="1" applyAlignment="1" applyProtection="1">
      <alignment horizontal="center" vertical="center" wrapText="1"/>
      <protection hidden="1"/>
    </xf>
    <xf numFmtId="0" fontId="117" fillId="5" borderId="158" xfId="5" applyFont="1" applyFill="1" applyBorder="1" applyAlignment="1" applyProtection="1">
      <alignment horizontal="left" vertical="center" wrapText="1"/>
      <protection hidden="1"/>
    </xf>
    <xf numFmtId="0" fontId="117" fillId="5" borderId="24" xfId="5" applyFont="1" applyFill="1" applyBorder="1" applyAlignment="1" applyProtection="1">
      <alignment horizontal="left" vertical="center" wrapText="1"/>
      <protection hidden="1"/>
    </xf>
    <xf numFmtId="0" fontId="165" fillId="0" borderId="0" xfId="5" applyFont="1" applyAlignment="1" applyProtection="1">
      <alignment horizontal="center"/>
      <protection locked="0"/>
    </xf>
    <xf numFmtId="0" fontId="47" fillId="0" borderId="0" xfId="5" applyFont="1" applyAlignment="1" applyProtection="1">
      <alignment horizontal="center"/>
      <protection locked="0"/>
    </xf>
    <xf numFmtId="0" fontId="25" fillId="0" borderId="4" xfId="0" applyFont="1" applyBorder="1" applyAlignment="1" applyProtection="1">
      <alignment horizontal="center" vertical="center"/>
      <protection locked="0"/>
    </xf>
    <xf numFmtId="0" fontId="20" fillId="0" borderId="33" xfId="5" applyFont="1" applyBorder="1" applyAlignment="1" applyProtection="1">
      <alignment horizontal="center" vertical="center"/>
      <protection locked="0"/>
    </xf>
    <xf numFmtId="0" fontId="20" fillId="0" borderId="0" xfId="5" applyFont="1" applyAlignment="1" applyProtection="1">
      <alignment horizontal="center" vertical="center"/>
      <protection locked="0"/>
    </xf>
    <xf numFmtId="0" fontId="14" fillId="0" borderId="4" xfId="0" applyFont="1" applyBorder="1" applyAlignment="1" applyProtection="1">
      <alignment horizontal="center" vertical="top"/>
      <protection locked="0"/>
    </xf>
    <xf numFmtId="14" fontId="20" fillId="0" borderId="33" xfId="5" applyNumberFormat="1" applyFont="1" applyBorder="1" applyAlignment="1" applyProtection="1">
      <alignment horizontal="center" vertical="center"/>
      <protection locked="0"/>
    </xf>
    <xf numFmtId="9" fontId="27" fillId="15" borderId="158" xfId="7" applyFont="1" applyFill="1" applyBorder="1" applyAlignment="1" applyProtection="1">
      <alignment horizontal="center" vertical="center" wrapText="1"/>
      <protection hidden="1"/>
    </xf>
    <xf numFmtId="9" fontId="27" fillId="15" borderId="24" xfId="7" applyFont="1" applyFill="1" applyBorder="1" applyAlignment="1" applyProtection="1">
      <alignment horizontal="center" vertical="center" wrapText="1"/>
      <protection hidden="1"/>
    </xf>
    <xf numFmtId="10" fontId="117" fillId="5" borderId="28" xfId="7" applyNumberFormat="1" applyFont="1" applyFill="1" applyBorder="1" applyAlignment="1" applyProtection="1">
      <alignment horizontal="center" vertical="center" wrapText="1"/>
      <protection hidden="1"/>
    </xf>
    <xf numFmtId="10" fontId="117" fillId="5" borderId="15" xfId="7" applyNumberFormat="1" applyFont="1" applyFill="1" applyBorder="1" applyAlignment="1" applyProtection="1">
      <alignment horizontal="center" vertical="center" wrapText="1"/>
      <protection hidden="1"/>
    </xf>
    <xf numFmtId="0" fontId="110" fillId="5" borderId="144" xfId="5" applyFont="1" applyFill="1" applyBorder="1" applyAlignment="1" applyProtection="1">
      <alignment horizontal="center" vertical="center" wrapText="1"/>
      <protection hidden="1"/>
    </xf>
    <xf numFmtId="0" fontId="110" fillId="5" borderId="145" xfId="5" applyFont="1" applyFill="1" applyBorder="1" applyAlignment="1" applyProtection="1">
      <alignment horizontal="center" vertical="center" wrapText="1"/>
      <protection hidden="1"/>
    </xf>
    <xf numFmtId="0" fontId="110" fillId="5" borderId="45" xfId="5" applyFont="1" applyFill="1" applyBorder="1" applyAlignment="1" applyProtection="1">
      <alignment horizontal="center" vertical="center" wrapText="1"/>
      <protection hidden="1"/>
    </xf>
    <xf numFmtId="0" fontId="110" fillId="5" borderId="46" xfId="5" applyFont="1" applyFill="1" applyBorder="1" applyAlignment="1" applyProtection="1">
      <alignment horizontal="center" vertical="center" wrapText="1"/>
      <protection hidden="1"/>
    </xf>
    <xf numFmtId="9" fontId="110" fillId="15" borderId="158" xfId="7" applyFont="1" applyFill="1" applyBorder="1" applyAlignment="1" applyProtection="1">
      <alignment horizontal="center" vertical="center" wrapText="1"/>
      <protection hidden="1"/>
    </xf>
    <xf numFmtId="9" fontId="110" fillId="15" borderId="14" xfId="7" applyFont="1" applyFill="1" applyBorder="1" applyAlignment="1" applyProtection="1">
      <alignment horizontal="center" vertical="center" wrapText="1"/>
      <protection hidden="1"/>
    </xf>
    <xf numFmtId="10" fontId="110" fillId="15" borderId="158" xfId="7" applyNumberFormat="1" applyFont="1" applyFill="1" applyBorder="1" applyAlignment="1" applyProtection="1">
      <alignment horizontal="center" vertical="center"/>
      <protection hidden="1"/>
    </xf>
    <xf numFmtId="10" fontId="110" fillId="15" borderId="14" xfId="7" applyNumberFormat="1" applyFont="1" applyFill="1" applyBorder="1" applyAlignment="1" applyProtection="1">
      <alignment horizontal="center" vertical="center"/>
      <protection hidden="1"/>
    </xf>
    <xf numFmtId="10" fontId="110" fillId="15" borderId="28" xfId="7" applyNumberFormat="1" applyFont="1" applyFill="1" applyBorder="1" applyAlignment="1" applyProtection="1">
      <alignment horizontal="center" vertical="center"/>
      <protection hidden="1"/>
    </xf>
    <xf numFmtId="10" fontId="110" fillId="15" borderId="15" xfId="7" applyNumberFormat="1" applyFont="1" applyFill="1" applyBorder="1" applyAlignment="1" applyProtection="1">
      <alignment horizontal="center" vertical="center"/>
      <protection hidden="1"/>
    </xf>
    <xf numFmtId="10" fontId="117" fillId="5" borderId="7" xfId="2" applyNumberFormat="1" applyFont="1" applyFill="1" applyBorder="1" applyAlignment="1" applyProtection="1">
      <alignment horizontal="center" vertical="center" wrapText="1"/>
      <protection hidden="1"/>
    </xf>
    <xf numFmtId="170" fontId="27" fillId="15" borderId="8" xfId="7" applyNumberFormat="1" applyFont="1" applyFill="1" applyBorder="1" applyAlignment="1" applyProtection="1">
      <alignment horizontal="center" vertical="center" wrapText="1"/>
      <protection hidden="1"/>
    </xf>
    <xf numFmtId="170" fontId="27" fillId="15" borderId="15" xfId="7" applyNumberFormat="1" applyFont="1" applyFill="1" applyBorder="1" applyAlignment="1" applyProtection="1">
      <alignment horizontal="center" vertical="center" wrapText="1"/>
      <protection hidden="1"/>
    </xf>
    <xf numFmtId="170" fontId="27" fillId="15" borderId="28" xfId="7" applyNumberFormat="1" applyFont="1" applyFill="1" applyBorder="1" applyAlignment="1" applyProtection="1">
      <alignment horizontal="center" vertical="center" wrapText="1"/>
      <protection hidden="1"/>
    </xf>
    <xf numFmtId="0" fontId="25" fillId="5" borderId="10" xfId="5" applyFont="1" applyFill="1" applyBorder="1" applyAlignment="1" applyProtection="1">
      <alignment horizontal="center" vertical="center" wrapText="1"/>
      <protection hidden="1"/>
    </xf>
    <xf numFmtId="9" fontId="110" fillId="15" borderId="35" xfId="5" applyNumberFormat="1" applyFont="1" applyFill="1" applyBorder="1" applyAlignment="1" applyProtection="1">
      <alignment horizontal="center" vertical="center" wrapText="1"/>
      <protection hidden="1"/>
    </xf>
    <xf numFmtId="9" fontId="110" fillId="5" borderId="7" xfId="5" applyNumberFormat="1" applyFont="1" applyFill="1" applyBorder="1" applyAlignment="1" applyProtection="1">
      <alignment horizontal="center" vertical="center" wrapText="1"/>
      <protection hidden="1"/>
    </xf>
    <xf numFmtId="9" fontId="110" fillId="5" borderId="24" xfId="5" applyNumberFormat="1" applyFont="1" applyFill="1" applyBorder="1" applyAlignment="1" applyProtection="1">
      <alignment horizontal="center" vertical="center" wrapText="1"/>
      <protection hidden="1"/>
    </xf>
    <xf numFmtId="9" fontId="110" fillId="5" borderId="14" xfId="5" applyNumberFormat="1" applyFont="1" applyFill="1" applyBorder="1" applyAlignment="1" applyProtection="1">
      <alignment horizontal="center" vertical="center" wrapText="1"/>
      <protection hidden="1"/>
    </xf>
    <xf numFmtId="0" fontId="117" fillId="5" borderId="7" xfId="5" applyFont="1" applyFill="1" applyBorder="1" applyAlignment="1" applyProtection="1">
      <alignment horizontal="left" vertical="center" wrapText="1"/>
      <protection hidden="1"/>
    </xf>
    <xf numFmtId="9" fontId="27" fillId="15" borderId="7" xfId="7" applyFont="1" applyFill="1" applyBorder="1" applyAlignment="1" applyProtection="1">
      <alignment horizontal="center" vertical="center" wrapText="1"/>
      <protection hidden="1"/>
    </xf>
    <xf numFmtId="10" fontId="117" fillId="5" borderId="7" xfId="7" applyNumberFormat="1" applyFont="1" applyFill="1" applyBorder="1" applyAlignment="1" applyProtection="1">
      <alignment horizontal="center" vertical="center" wrapText="1"/>
      <protection hidden="1"/>
    </xf>
    <xf numFmtId="10" fontId="117" fillId="36" borderId="7" xfId="7" applyNumberFormat="1" applyFont="1" applyFill="1" applyBorder="1" applyAlignment="1" applyProtection="1">
      <alignment horizontal="center" vertical="center"/>
      <protection hidden="1"/>
    </xf>
    <xf numFmtId="10" fontId="117" fillId="36" borderId="8" xfId="7" applyNumberFormat="1" applyFont="1" applyFill="1" applyBorder="1" applyAlignment="1" applyProtection="1">
      <alignment horizontal="center"/>
      <protection hidden="1"/>
    </xf>
    <xf numFmtId="0" fontId="25" fillId="5" borderId="124" xfId="5" applyFont="1" applyFill="1" applyBorder="1" applyAlignment="1" applyProtection="1">
      <alignment horizontal="center" vertical="center" wrapText="1"/>
      <protection hidden="1"/>
    </xf>
    <xf numFmtId="0" fontId="25" fillId="5" borderId="128" xfId="5" applyFont="1" applyFill="1" applyBorder="1" applyAlignment="1" applyProtection="1">
      <alignment horizontal="center" vertical="center" wrapText="1"/>
      <protection hidden="1"/>
    </xf>
    <xf numFmtId="0" fontId="25" fillId="5" borderId="130" xfId="5" applyFont="1" applyFill="1" applyBorder="1" applyAlignment="1" applyProtection="1">
      <alignment horizontal="center" vertical="center" wrapText="1"/>
      <protection hidden="1"/>
    </xf>
    <xf numFmtId="0" fontId="110" fillId="5" borderId="31" xfId="5" applyFont="1" applyFill="1" applyBorder="1" applyAlignment="1" applyProtection="1">
      <alignment horizontal="center" vertical="center" wrapText="1"/>
      <protection hidden="1"/>
    </xf>
    <xf numFmtId="0" fontId="110" fillId="5" borderId="35" xfId="5" applyFont="1" applyFill="1" applyBorder="1" applyAlignment="1" applyProtection="1">
      <alignment horizontal="center" vertical="center" wrapText="1"/>
      <protection hidden="1"/>
    </xf>
    <xf numFmtId="9" fontId="110" fillId="15" borderId="143" xfId="7" applyFont="1" applyFill="1" applyBorder="1" applyAlignment="1" applyProtection="1">
      <alignment horizontal="center" vertical="center" wrapText="1"/>
      <protection hidden="1"/>
    </xf>
    <xf numFmtId="10" fontId="110" fillId="15" borderId="143" xfId="7" applyNumberFormat="1" applyFont="1" applyFill="1" applyBorder="1" applyAlignment="1" applyProtection="1">
      <alignment horizontal="center" vertical="center"/>
      <protection hidden="1"/>
    </xf>
    <xf numFmtId="0" fontId="110" fillId="14" borderId="8" xfId="34" applyFont="1" applyFill="1" applyBorder="1" applyAlignment="1" applyProtection="1">
      <alignment horizontal="center" vertical="center" wrapText="1"/>
      <protection hidden="1"/>
    </xf>
    <xf numFmtId="0" fontId="110" fillId="14" borderId="133" xfId="34" applyFont="1" applyFill="1" applyBorder="1" applyAlignment="1" applyProtection="1">
      <alignment horizontal="center" vertical="center" wrapText="1"/>
      <protection hidden="1"/>
    </xf>
    <xf numFmtId="0" fontId="110" fillId="14" borderId="129" xfId="34" applyFont="1" applyFill="1" applyBorder="1" applyAlignment="1" applyProtection="1">
      <alignment horizontal="center" vertical="center" wrapText="1"/>
      <protection hidden="1"/>
    </xf>
    <xf numFmtId="0" fontId="35" fillId="0" borderId="164" xfId="0" applyFont="1" applyBorder="1" applyAlignment="1" applyProtection="1">
      <alignment horizontal="center" vertical="center" wrapText="1"/>
      <protection hidden="1"/>
    </xf>
    <xf numFmtId="0" fontId="35" fillId="0" borderId="163" xfId="0" applyFont="1" applyBorder="1" applyAlignment="1" applyProtection="1">
      <alignment horizontal="center" vertical="center" wrapText="1"/>
      <protection hidden="1"/>
    </xf>
    <xf numFmtId="170" fontId="28" fillId="15" borderId="162" xfId="7" applyNumberFormat="1" applyFont="1" applyFill="1" applyBorder="1" applyAlignment="1" applyProtection="1">
      <alignment horizontal="center" vertical="center" wrapText="1"/>
      <protection hidden="1"/>
    </xf>
    <xf numFmtId="170" fontId="28" fillId="15" borderId="3" xfId="7" applyNumberFormat="1" applyFont="1" applyFill="1" applyBorder="1" applyAlignment="1" applyProtection="1">
      <alignment horizontal="center" vertical="center" wrapText="1"/>
      <protection hidden="1"/>
    </xf>
    <xf numFmtId="0" fontId="0" fillId="0" borderId="10" xfId="0" applyBorder="1" applyAlignment="1" applyProtection="1">
      <alignment horizontal="center"/>
      <protection hidden="1"/>
    </xf>
    <xf numFmtId="0" fontId="0" fillId="0" borderId="25" xfId="0" applyBorder="1" applyAlignment="1" applyProtection="1">
      <alignment horizontal="center"/>
      <protection hidden="1"/>
    </xf>
    <xf numFmtId="0" fontId="0" fillId="0" borderId="16" xfId="0" applyBorder="1" applyAlignment="1" applyProtection="1">
      <alignment horizontal="center"/>
      <protection hidden="1"/>
    </xf>
    <xf numFmtId="0" fontId="138" fillId="0" borderId="0" xfId="5" applyFont="1" applyAlignment="1" applyProtection="1">
      <alignment horizontal="center" vertical="center" wrapText="1"/>
      <protection hidden="1"/>
    </xf>
    <xf numFmtId="0" fontId="14" fillId="0" borderId="33" xfId="0" applyFont="1" applyBorder="1" applyAlignment="1" applyProtection="1">
      <alignment horizontal="left" vertical="center"/>
      <protection hidden="1"/>
    </xf>
    <xf numFmtId="41" fontId="14" fillId="0" borderId="13" xfId="0" applyNumberFormat="1" applyFont="1" applyBorder="1" applyAlignment="1" applyProtection="1">
      <alignment horizontal="left" vertical="center"/>
      <protection locked="0"/>
    </xf>
    <xf numFmtId="0" fontId="14" fillId="0" borderId="13" xfId="0" applyFont="1" applyBorder="1" applyAlignment="1" applyProtection="1">
      <alignment horizontal="left" vertical="center"/>
      <protection locked="0"/>
    </xf>
    <xf numFmtId="14" fontId="14" fillId="0" borderId="13" xfId="0" applyNumberFormat="1" applyFont="1" applyBorder="1" applyAlignment="1" applyProtection="1">
      <alignment horizontal="left" vertical="center"/>
      <protection locked="0"/>
    </xf>
    <xf numFmtId="0" fontId="110" fillId="14" borderId="51" xfId="34" applyFont="1" applyFill="1" applyBorder="1" applyAlignment="1" applyProtection="1">
      <alignment horizontal="center" vertical="center" wrapText="1"/>
      <protection hidden="1"/>
    </xf>
    <xf numFmtId="0" fontId="110" fillId="14" borderId="38" xfId="34" applyFont="1" applyFill="1" applyBorder="1" applyAlignment="1" applyProtection="1">
      <alignment horizontal="center" vertical="center" wrapText="1"/>
      <protection hidden="1"/>
    </xf>
    <xf numFmtId="0" fontId="110" fillId="14" borderId="39" xfId="34" applyFont="1" applyFill="1" applyBorder="1" applyAlignment="1" applyProtection="1">
      <alignment horizontal="center" vertical="center" wrapText="1"/>
      <protection hidden="1"/>
    </xf>
    <xf numFmtId="0" fontId="110" fillId="14" borderId="40" xfId="34" applyFont="1" applyFill="1" applyBorder="1" applyAlignment="1" applyProtection="1">
      <alignment horizontal="center" vertical="center" wrapText="1"/>
      <protection hidden="1"/>
    </xf>
    <xf numFmtId="0" fontId="110" fillId="14" borderId="46" xfId="34" applyFont="1" applyFill="1" applyBorder="1" applyAlignment="1" applyProtection="1">
      <alignment horizontal="center" vertical="center" wrapText="1"/>
      <protection hidden="1"/>
    </xf>
    <xf numFmtId="0" fontId="110" fillId="14" borderId="45" xfId="34" applyFont="1" applyFill="1" applyBorder="1" applyAlignment="1" applyProtection="1">
      <alignment horizontal="center" vertical="center" wrapText="1"/>
      <protection hidden="1"/>
    </xf>
    <xf numFmtId="0" fontId="110" fillId="14" borderId="125" xfId="34" applyFont="1" applyFill="1" applyBorder="1" applyAlignment="1" applyProtection="1">
      <alignment horizontal="center" vertical="center" wrapText="1"/>
      <protection hidden="1"/>
    </xf>
    <xf numFmtId="0" fontId="110" fillId="14" borderId="142" xfId="34" applyFont="1" applyFill="1" applyBorder="1" applyAlignment="1" applyProtection="1">
      <alignment horizontal="center" vertical="center" wrapText="1"/>
      <protection hidden="1"/>
    </xf>
    <xf numFmtId="0" fontId="110" fillId="14" borderId="24" xfId="34" applyFont="1" applyFill="1" applyBorder="1" applyAlignment="1" applyProtection="1">
      <alignment horizontal="center" vertical="center" wrapText="1"/>
      <protection hidden="1"/>
    </xf>
    <xf numFmtId="0" fontId="28" fillId="14" borderId="11" xfId="34" applyFont="1" applyFill="1" applyBorder="1" applyAlignment="1" applyProtection="1">
      <alignment horizontal="center" vertical="center"/>
      <protection hidden="1"/>
    </xf>
    <xf numFmtId="0" fontId="28" fillId="14" borderId="27" xfId="34" applyFont="1" applyFill="1" applyBorder="1" applyAlignment="1" applyProtection="1">
      <alignment horizontal="center" vertical="center"/>
      <protection hidden="1"/>
    </xf>
    <xf numFmtId="0" fontId="117" fillId="5" borderId="144" xfId="5" applyFont="1" applyFill="1" applyBorder="1" applyAlignment="1" applyProtection="1">
      <alignment horizontal="center" vertical="center" wrapText="1"/>
      <protection hidden="1"/>
    </xf>
    <xf numFmtId="0" fontId="117" fillId="5" borderId="145" xfId="5" applyFont="1" applyFill="1" applyBorder="1" applyAlignment="1" applyProtection="1">
      <alignment horizontal="center" vertical="center" wrapText="1"/>
      <protection hidden="1"/>
    </xf>
    <xf numFmtId="0" fontId="117" fillId="5" borderId="31" xfId="5" applyFont="1" applyFill="1" applyBorder="1" applyAlignment="1" applyProtection="1">
      <alignment horizontal="center" vertical="center" wrapText="1"/>
      <protection hidden="1"/>
    </xf>
    <xf numFmtId="0" fontId="117" fillId="5" borderId="35" xfId="5" applyFont="1" applyFill="1" applyBorder="1" applyAlignment="1" applyProtection="1">
      <alignment horizontal="center" vertical="center" wrapText="1"/>
      <protection hidden="1"/>
    </xf>
    <xf numFmtId="0" fontId="117" fillId="5" borderId="127" xfId="5" applyFont="1" applyFill="1" applyBorder="1" applyAlignment="1" applyProtection="1">
      <alignment horizontal="center" vertical="center" wrapText="1"/>
      <protection hidden="1"/>
    </xf>
    <xf numFmtId="0" fontId="117" fillId="5" borderId="6" xfId="5" applyFont="1" applyFill="1" applyBorder="1" applyAlignment="1" applyProtection="1">
      <alignment horizontal="center" vertical="center" wrapText="1"/>
      <protection hidden="1"/>
    </xf>
    <xf numFmtId="0" fontId="138" fillId="0" borderId="45" xfId="0" applyFont="1" applyBorder="1" applyAlignment="1">
      <alignment horizontal="center" vertical="center"/>
    </xf>
    <xf numFmtId="0" fontId="138" fillId="0" borderId="0" xfId="0" applyFont="1" applyBorder="1" applyAlignment="1">
      <alignment horizontal="center" vertical="center"/>
    </xf>
    <xf numFmtId="0" fontId="138" fillId="0" borderId="31" xfId="0" applyFont="1" applyBorder="1" applyAlignment="1">
      <alignment horizontal="center" vertical="center"/>
    </xf>
    <xf numFmtId="0" fontId="138" fillId="0" borderId="33" xfId="0" applyFont="1" applyBorder="1" applyAlignment="1">
      <alignment horizontal="center" vertical="center"/>
    </xf>
    <xf numFmtId="167" fontId="173" fillId="10" borderId="97" xfId="24" applyNumberFormat="1" applyFont="1" applyFill="1" applyBorder="1" applyAlignment="1" applyProtection="1">
      <alignment horizontal="center" vertical="center"/>
      <protection hidden="1"/>
    </xf>
    <xf numFmtId="167" fontId="173" fillId="10" borderId="98" xfId="24" applyNumberFormat="1" applyFont="1" applyFill="1" applyBorder="1" applyAlignment="1" applyProtection="1">
      <alignment horizontal="center" vertical="center"/>
      <protection hidden="1"/>
    </xf>
    <xf numFmtId="167" fontId="173" fillId="10" borderId="5" xfId="24" applyNumberFormat="1" applyFont="1" applyFill="1" applyBorder="1" applyAlignment="1" applyProtection="1">
      <alignment horizontal="center" vertical="center"/>
      <protection hidden="1"/>
    </xf>
    <xf numFmtId="0" fontId="18" fillId="64" borderId="4" xfId="0" applyFont="1" applyFill="1" applyBorder="1" applyAlignment="1">
      <alignment horizontal="left" vertical="center"/>
    </xf>
    <xf numFmtId="0" fontId="0" fillId="21" borderId="4" xfId="0" applyFill="1" applyBorder="1" applyAlignment="1">
      <alignment horizontal="left" vertical="center"/>
    </xf>
    <xf numFmtId="0" fontId="0" fillId="20" borderId="4" xfId="0" applyFill="1" applyBorder="1" applyAlignment="1">
      <alignment horizontal="left" vertical="center"/>
    </xf>
    <xf numFmtId="0" fontId="0" fillId="65" borderId="4" xfId="0" applyFill="1" applyBorder="1" applyAlignment="1">
      <alignment horizontal="left" vertical="center"/>
    </xf>
    <xf numFmtId="0" fontId="110" fillId="5" borderId="140" xfId="5" applyFont="1" applyFill="1" applyBorder="1" applyAlignment="1" applyProtection="1">
      <alignment horizontal="center" vertical="center" wrapText="1"/>
      <protection hidden="1"/>
    </xf>
    <xf numFmtId="0" fontId="110" fillId="5" borderId="18" xfId="5" applyFont="1" applyFill="1" applyBorder="1" applyAlignment="1" applyProtection="1">
      <alignment horizontal="center" vertical="center" wrapText="1"/>
      <protection hidden="1"/>
    </xf>
    <xf numFmtId="0" fontId="110" fillId="5" borderId="154" xfId="5" applyFont="1" applyFill="1" applyBorder="1" applyAlignment="1" applyProtection="1">
      <alignment horizontal="center" vertical="center" wrapText="1"/>
      <protection hidden="1"/>
    </xf>
    <xf numFmtId="0" fontId="110" fillId="5" borderId="157" xfId="5" applyFont="1" applyFill="1" applyBorder="1" applyAlignment="1" applyProtection="1">
      <alignment horizontal="center" vertical="center" wrapText="1"/>
      <protection hidden="1"/>
    </xf>
    <xf numFmtId="0" fontId="110" fillId="5" borderId="2" xfId="5" applyFont="1" applyFill="1" applyBorder="1" applyAlignment="1" applyProtection="1">
      <alignment horizontal="center" vertical="center" wrapText="1"/>
      <protection hidden="1"/>
    </xf>
    <xf numFmtId="0" fontId="110" fillId="5" borderId="142" xfId="5" applyFont="1" applyFill="1" applyBorder="1" applyAlignment="1" applyProtection="1">
      <alignment horizontal="center" vertical="center" wrapText="1"/>
      <protection hidden="1"/>
    </xf>
    <xf numFmtId="9" fontId="28" fillId="15" borderId="157" xfId="7" applyFont="1" applyFill="1" applyBorder="1" applyAlignment="1" applyProtection="1">
      <alignment horizontal="center" vertical="center" wrapText="1"/>
      <protection hidden="1"/>
    </xf>
    <xf numFmtId="9" fontId="28" fillId="15" borderId="142" xfId="7" applyFont="1" applyFill="1" applyBorder="1" applyAlignment="1" applyProtection="1">
      <alignment horizontal="center" vertical="center" wrapText="1"/>
      <protection hidden="1"/>
    </xf>
    <xf numFmtId="10" fontId="28" fillId="15" borderId="158" xfId="7" applyNumberFormat="1" applyFont="1" applyFill="1" applyBorder="1" applyAlignment="1" applyProtection="1">
      <alignment horizontal="center" vertical="center" wrapText="1"/>
      <protection hidden="1"/>
    </xf>
    <xf numFmtId="10" fontId="28" fillId="15" borderId="47" xfId="7" applyNumberFormat="1" applyFont="1" applyFill="1" applyBorder="1" applyAlignment="1" applyProtection="1">
      <alignment horizontal="center" vertical="center" wrapText="1"/>
      <protection hidden="1"/>
    </xf>
    <xf numFmtId="10" fontId="28" fillId="15" borderId="167" xfId="7" applyNumberFormat="1" applyFont="1" applyFill="1" applyBorder="1" applyAlignment="1" applyProtection="1">
      <alignment horizontal="center" vertical="center" wrapText="1"/>
      <protection hidden="1"/>
    </xf>
    <xf numFmtId="10" fontId="28" fillId="15" borderId="26" xfId="7" applyNumberFormat="1" applyFont="1" applyFill="1" applyBorder="1" applyAlignment="1" applyProtection="1">
      <alignment horizontal="center" vertical="center" wrapText="1"/>
      <protection hidden="1"/>
    </xf>
    <xf numFmtId="170" fontId="28" fillId="15" borderId="28" xfId="7" applyNumberFormat="1" applyFont="1" applyFill="1" applyBorder="1" applyAlignment="1" applyProtection="1">
      <alignment horizontal="center" vertical="center" wrapText="1"/>
      <protection hidden="1"/>
    </xf>
    <xf numFmtId="170" fontId="28" fillId="15" borderId="15" xfId="7" applyNumberFormat="1" applyFont="1" applyFill="1" applyBorder="1" applyAlignment="1" applyProtection="1">
      <alignment horizontal="center" vertical="center" wrapText="1"/>
      <protection hidden="1"/>
    </xf>
    <xf numFmtId="170" fontId="117" fillId="15" borderId="28" xfId="7" applyNumberFormat="1" applyFont="1" applyFill="1" applyBorder="1" applyAlignment="1" applyProtection="1">
      <alignment horizontal="center" vertical="center" wrapText="1"/>
      <protection hidden="1"/>
    </xf>
    <xf numFmtId="170" fontId="117" fillId="15" borderId="15" xfId="7" applyNumberFormat="1" applyFont="1" applyFill="1" applyBorder="1" applyAlignment="1" applyProtection="1">
      <alignment horizontal="center" vertical="center" wrapText="1"/>
      <protection hidden="1"/>
    </xf>
    <xf numFmtId="170" fontId="43" fillId="20" borderId="38" xfId="7" applyNumberFormat="1" applyFont="1" applyFill="1" applyBorder="1" applyAlignment="1" applyProtection="1">
      <alignment horizontal="center" vertical="center"/>
      <protection hidden="1"/>
    </xf>
    <xf numFmtId="170" fontId="43" fillId="20" borderId="40" xfId="7" applyNumberFormat="1" applyFont="1" applyFill="1" applyBorder="1" applyAlignment="1" applyProtection="1">
      <alignment horizontal="center" vertical="center"/>
      <protection hidden="1"/>
    </xf>
    <xf numFmtId="170" fontId="117" fillId="15" borderId="164" xfId="7" applyNumberFormat="1" applyFont="1" applyFill="1" applyBorder="1" applyAlignment="1" applyProtection="1">
      <alignment horizontal="center" vertical="center" wrapText="1"/>
      <protection hidden="1"/>
    </xf>
    <xf numFmtId="170" fontId="117" fillId="15" borderId="39" xfId="7" applyNumberFormat="1" applyFont="1" applyFill="1" applyBorder="1" applyAlignment="1" applyProtection="1">
      <alignment horizontal="center" vertical="center" wrapText="1"/>
      <protection hidden="1"/>
    </xf>
    <xf numFmtId="170" fontId="117" fillId="15" borderId="163" xfId="7" applyNumberFormat="1" applyFont="1" applyFill="1" applyBorder="1" applyAlignment="1" applyProtection="1">
      <alignment horizontal="center" vertical="center" wrapText="1"/>
      <protection hidden="1"/>
    </xf>
    <xf numFmtId="0" fontId="69" fillId="0" borderId="167"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24" xfId="0" applyFont="1" applyBorder="1" applyAlignment="1" applyProtection="1">
      <alignment horizontal="center" vertical="center" wrapText="1"/>
      <protection locked="0"/>
    </xf>
    <xf numFmtId="0" fontId="14" fillId="0" borderId="97" xfId="0" applyFont="1" applyBorder="1" applyAlignment="1" applyProtection="1">
      <alignment horizontal="left" vertical="center"/>
      <protection locked="0"/>
    </xf>
    <xf numFmtId="0" fontId="14" fillId="0" borderId="98"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4" fillId="0" borderId="167" xfId="0" applyFont="1" applyBorder="1" applyAlignment="1">
      <alignment horizontal="center"/>
    </xf>
    <xf numFmtId="0" fontId="14" fillId="0" borderId="14" xfId="0" applyFont="1" applyBorder="1" applyAlignment="1">
      <alignment horizontal="center"/>
    </xf>
    <xf numFmtId="0" fontId="11" fillId="0" borderId="0" xfId="0" applyFont="1" applyAlignment="1" applyProtection="1">
      <alignment horizontal="center"/>
      <protection hidden="1"/>
    </xf>
    <xf numFmtId="0" fontId="22" fillId="0" borderId="0" xfId="0" applyFont="1" applyAlignment="1" applyProtection="1">
      <alignment horizontal="left" vertical="center"/>
      <protection hidden="1"/>
    </xf>
    <xf numFmtId="41" fontId="14" fillId="0" borderId="13" xfId="19" applyFont="1" applyBorder="1" applyAlignment="1" applyProtection="1">
      <alignment horizontal="left"/>
      <protection hidden="1"/>
    </xf>
    <xf numFmtId="0" fontId="11" fillId="0" borderId="165" xfId="0" applyFont="1" applyBorder="1" applyAlignment="1" applyProtection="1">
      <alignment horizontal="center" vertical="center" wrapText="1"/>
      <protection hidden="1"/>
    </xf>
    <xf numFmtId="0" fontId="11" fillId="0" borderId="169" xfId="0" applyFont="1" applyBorder="1" applyAlignment="1" applyProtection="1">
      <alignment horizontal="center" vertical="center" wrapText="1"/>
      <protection hidden="1"/>
    </xf>
    <xf numFmtId="0" fontId="11" fillId="0" borderId="168" xfId="0" applyFont="1" applyBorder="1" applyAlignment="1" applyProtection="1">
      <alignment horizontal="center" vertical="center" wrapText="1"/>
      <protection hidden="1"/>
    </xf>
    <xf numFmtId="0" fontId="11" fillId="0" borderId="31" xfId="0" applyFont="1" applyBorder="1" applyAlignment="1" applyProtection="1">
      <alignment horizontal="center" vertical="center" wrapText="1"/>
      <protection hidden="1"/>
    </xf>
    <xf numFmtId="0" fontId="11" fillId="0" borderId="33" xfId="0" applyFont="1" applyBorder="1" applyAlignment="1" applyProtection="1">
      <alignment horizontal="center" vertical="center" wrapText="1"/>
      <protection hidden="1"/>
    </xf>
    <xf numFmtId="0" fontId="11" fillId="0" borderId="35" xfId="0" applyFont="1" applyBorder="1" applyAlignment="1" applyProtection="1">
      <alignment horizontal="center" vertical="center" wrapText="1"/>
      <protection hidden="1"/>
    </xf>
    <xf numFmtId="0" fontId="19" fillId="20" borderId="4" xfId="0" applyFont="1" applyFill="1" applyBorder="1" applyAlignment="1" applyProtection="1">
      <alignment horizontal="center"/>
      <protection hidden="1"/>
    </xf>
    <xf numFmtId="0" fontId="25" fillId="0" borderId="93" xfId="0" applyFont="1" applyBorder="1" applyAlignment="1" applyProtection="1">
      <alignment horizontal="left" vertical="center"/>
      <protection locked="0"/>
    </xf>
    <xf numFmtId="0" fontId="25" fillId="0" borderId="14" xfId="0" applyFont="1" applyBorder="1" applyAlignment="1" applyProtection="1">
      <alignment horizontal="left" vertical="center"/>
      <protection locked="0"/>
    </xf>
    <xf numFmtId="0" fontId="14" fillId="0" borderId="94" xfId="0" applyFont="1" applyBorder="1" applyAlignment="1" applyProtection="1">
      <alignment horizontal="center"/>
      <protection locked="0"/>
    </xf>
    <xf numFmtId="0" fontId="14" fillId="0" borderId="95" xfId="0" applyFont="1" applyBorder="1" applyAlignment="1" applyProtection="1">
      <alignment horizontal="center"/>
      <protection locked="0"/>
    </xf>
    <xf numFmtId="0" fontId="14" fillId="0" borderId="96" xfId="0" applyFont="1" applyBorder="1" applyAlignment="1" applyProtection="1">
      <alignment horizontal="center"/>
      <protection locked="0"/>
    </xf>
    <xf numFmtId="0" fontId="14" fillId="0" borderId="31" xfId="0" applyFont="1" applyBorder="1" applyAlignment="1" applyProtection="1">
      <alignment horizontal="center"/>
      <protection locked="0"/>
    </xf>
    <xf numFmtId="0" fontId="14" fillId="0" borderId="33" xfId="0" applyFont="1" applyBorder="1" applyAlignment="1" applyProtection="1">
      <alignment horizontal="center"/>
      <protection locked="0"/>
    </xf>
    <xf numFmtId="0" fontId="14" fillId="0" borderId="35" xfId="0" applyFont="1" applyBorder="1" applyAlignment="1" applyProtection="1">
      <alignment horizontal="center"/>
      <protection locked="0"/>
    </xf>
    <xf numFmtId="0" fontId="14" fillId="0" borderId="38" xfId="0" applyFont="1" applyBorder="1" applyAlignment="1" applyProtection="1">
      <alignment horizontal="center" vertical="center"/>
      <protection locked="0"/>
    </xf>
    <xf numFmtId="0" fontId="14" fillId="0" borderId="39" xfId="0" applyFont="1" applyBorder="1" applyAlignment="1" applyProtection="1">
      <alignment horizontal="center" vertical="center"/>
      <protection locked="0"/>
    </xf>
    <xf numFmtId="0" fontId="14" fillId="0" borderId="40" xfId="0" applyFont="1" applyBorder="1" applyAlignment="1" applyProtection="1">
      <alignment horizontal="center" vertical="center"/>
      <protection locked="0"/>
    </xf>
    <xf numFmtId="177" fontId="11" fillId="0" borderId="0" xfId="17" applyNumberFormat="1" applyFont="1" applyAlignment="1" applyProtection="1">
      <alignment horizontal="center"/>
      <protection hidden="1"/>
    </xf>
    <xf numFmtId="177" fontId="14" fillId="0" borderId="33" xfId="17" applyNumberFormat="1" applyFont="1" applyBorder="1" applyAlignment="1" applyProtection="1">
      <alignment vertical="center"/>
      <protection hidden="1"/>
    </xf>
    <xf numFmtId="177" fontId="14" fillId="0" borderId="13" xfId="17" applyNumberFormat="1" applyFont="1" applyBorder="1" applyAlignment="1" applyProtection="1">
      <alignment horizontal="left"/>
      <protection hidden="1"/>
    </xf>
    <xf numFmtId="0" fontId="19" fillId="20" borderId="31" xfId="0" applyFont="1" applyFill="1" applyBorder="1" applyAlignment="1" applyProtection="1">
      <alignment horizontal="center"/>
      <protection hidden="1"/>
    </xf>
    <xf numFmtId="0" fontId="19" fillId="20" borderId="33" xfId="0" applyFont="1" applyFill="1" applyBorder="1" applyAlignment="1" applyProtection="1">
      <alignment horizontal="center"/>
      <protection hidden="1"/>
    </xf>
    <xf numFmtId="0" fontId="25" fillId="0" borderId="4" xfId="0" applyFont="1" applyBorder="1" applyAlignment="1" applyProtection="1">
      <alignment horizontal="left" vertical="center" wrapText="1"/>
      <protection locked="0"/>
    </xf>
    <xf numFmtId="0" fontId="25" fillId="0" borderId="9"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21" xfId="0" applyFont="1" applyBorder="1" applyAlignment="1" applyProtection="1">
      <alignment horizontal="left" vertical="center" wrapText="1"/>
      <protection locked="0"/>
    </xf>
    <xf numFmtId="0" fontId="25" fillId="0" borderId="94" xfId="0" applyFont="1" applyBorder="1" applyAlignment="1" applyProtection="1">
      <alignment horizontal="left" vertical="center" wrapText="1"/>
      <protection locked="0"/>
    </xf>
    <xf numFmtId="0" fontId="25" fillId="0" borderId="95" xfId="0" applyFont="1" applyBorder="1" applyAlignment="1" applyProtection="1">
      <alignment horizontal="left" vertical="center" wrapText="1"/>
      <protection locked="0"/>
    </xf>
    <xf numFmtId="0" fontId="25" fillId="0" borderId="96" xfId="0" applyFont="1" applyBorder="1" applyAlignment="1" applyProtection="1">
      <alignment horizontal="left" vertical="center" wrapText="1"/>
      <protection locked="0"/>
    </xf>
    <xf numFmtId="0" fontId="25" fillId="0" borderId="31"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5" xfId="0" applyFont="1" applyBorder="1" applyAlignment="1" applyProtection="1">
      <alignment horizontal="left" vertical="center" wrapText="1"/>
      <protection locked="0"/>
    </xf>
    <xf numFmtId="0" fontId="25" fillId="0" borderId="94" xfId="0" applyFont="1" applyBorder="1" applyAlignment="1" applyProtection="1">
      <alignment horizontal="center" vertical="center" wrapText="1"/>
      <protection locked="0"/>
    </xf>
    <xf numFmtId="0" fontId="25" fillId="0" borderId="95" xfId="0" applyFont="1" applyBorder="1" applyAlignment="1" applyProtection="1">
      <alignment horizontal="center" vertical="center" wrapText="1"/>
      <protection locked="0"/>
    </xf>
    <xf numFmtId="0" fontId="25" fillId="0" borderId="96" xfId="0" applyFont="1" applyBorder="1" applyAlignment="1" applyProtection="1">
      <alignment horizontal="center" vertical="center" wrapText="1"/>
      <protection locked="0"/>
    </xf>
    <xf numFmtId="0" fontId="25" fillId="0" borderId="31"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5" xfId="0" applyFont="1" applyBorder="1" applyAlignment="1" applyProtection="1">
      <alignment horizontal="center" vertical="center" wrapText="1"/>
      <protection locked="0"/>
    </xf>
    <xf numFmtId="0" fontId="25" fillId="0" borderId="94" xfId="0" applyFont="1" applyBorder="1" applyAlignment="1" applyProtection="1">
      <alignment horizontal="justify" vertical="center" wrapText="1"/>
      <protection locked="0"/>
    </xf>
    <xf numFmtId="0" fontId="25" fillId="0" borderId="95" xfId="0" applyFont="1" applyBorder="1" applyAlignment="1" applyProtection="1">
      <alignment horizontal="justify" vertical="center" wrapText="1"/>
      <protection locked="0"/>
    </xf>
    <xf numFmtId="0" fontId="25" fillId="0" borderId="96" xfId="0" applyFont="1" applyBorder="1" applyAlignment="1" applyProtection="1">
      <alignment horizontal="justify" vertical="center" wrapText="1"/>
      <protection locked="0"/>
    </xf>
    <xf numFmtId="0" fontId="25" fillId="0" borderId="45"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25" fillId="0" borderId="46" xfId="0" applyFont="1" applyBorder="1" applyAlignment="1" applyProtection="1">
      <alignment horizontal="justify" vertical="center" wrapText="1"/>
      <protection locked="0"/>
    </xf>
    <xf numFmtId="0" fontId="25" fillId="0" borderId="31" xfId="0" applyFont="1" applyBorder="1" applyAlignment="1" applyProtection="1">
      <alignment horizontal="justify" vertical="center" wrapText="1"/>
      <protection locked="0"/>
    </xf>
    <xf numFmtId="0" fontId="25" fillId="0" borderId="33" xfId="0" applyFont="1" applyBorder="1" applyAlignment="1" applyProtection="1">
      <alignment horizontal="justify" vertical="center" wrapText="1"/>
      <protection locked="0"/>
    </xf>
    <xf numFmtId="0" fontId="25" fillId="0" borderId="35" xfId="0" applyFont="1" applyBorder="1" applyAlignment="1" applyProtection="1">
      <alignment horizontal="justify" vertical="center" wrapText="1"/>
      <protection locked="0"/>
    </xf>
    <xf numFmtId="170" fontId="47" fillId="13" borderId="4" xfId="0" applyNumberFormat="1" applyFont="1" applyFill="1" applyBorder="1" applyAlignment="1" applyProtection="1">
      <alignment horizontal="justify" vertical="center"/>
      <protection hidden="1"/>
    </xf>
    <xf numFmtId="0" fontId="2" fillId="13" borderId="4" xfId="0" applyFont="1" applyFill="1" applyBorder="1" applyAlignment="1" applyProtection="1">
      <alignment horizontal="justify" vertical="center" wrapText="1"/>
      <protection hidden="1"/>
    </xf>
    <xf numFmtId="0" fontId="10" fillId="0" borderId="4"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35" fillId="0" borderId="45" xfId="0"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35" fillId="0" borderId="46" xfId="0" applyFont="1" applyBorder="1" applyAlignment="1" applyProtection="1">
      <alignment horizontal="center" vertical="center"/>
      <protection hidden="1"/>
    </xf>
    <xf numFmtId="0" fontId="35" fillId="29" borderId="4" xfId="0" applyFont="1" applyFill="1" applyBorder="1" applyAlignment="1">
      <alignment horizontal="center" vertical="center" wrapText="1"/>
    </xf>
    <xf numFmtId="0" fontId="35" fillId="29" borderId="4" xfId="0" applyFont="1" applyFill="1" applyBorder="1" applyAlignment="1" applyProtection="1">
      <alignment horizontal="center" vertical="center"/>
      <protection hidden="1"/>
    </xf>
    <xf numFmtId="0" fontId="35" fillId="0" borderId="4" xfId="0" applyFont="1" applyBorder="1" applyAlignment="1" applyProtection="1">
      <alignment horizontal="center" vertical="center"/>
      <protection hidden="1"/>
    </xf>
    <xf numFmtId="9" fontId="35" fillId="0" borderId="4" xfId="0" applyNumberFormat="1" applyFont="1" applyBorder="1" applyAlignment="1" applyProtection="1">
      <alignment horizontal="center" vertical="center"/>
      <protection hidden="1"/>
    </xf>
    <xf numFmtId="170" fontId="47" fillId="0" borderId="4" xfId="0" applyNumberFormat="1" applyFont="1" applyBorder="1" applyAlignment="1" applyProtection="1">
      <alignment horizontal="justify" vertical="center"/>
      <protection hidden="1"/>
    </xf>
    <xf numFmtId="0" fontId="28" fillId="20" borderId="9" xfId="0" applyFont="1" applyFill="1" applyBorder="1" applyAlignment="1" applyProtection="1">
      <alignment horizontal="center" vertical="center"/>
      <protection hidden="1"/>
    </xf>
    <xf numFmtId="0" fontId="28" fillId="20" borderId="13" xfId="0" applyFont="1" applyFill="1" applyBorder="1" applyAlignment="1" applyProtection="1">
      <alignment horizontal="center" vertical="center"/>
      <protection hidden="1"/>
    </xf>
    <xf numFmtId="0" fontId="28" fillId="20" borderId="21" xfId="0" applyFont="1" applyFill="1" applyBorder="1" applyAlignment="1" applyProtection="1">
      <alignment horizontal="center" vertical="center"/>
      <protection hidden="1"/>
    </xf>
    <xf numFmtId="0" fontId="35" fillId="44" borderId="9" xfId="0" applyFont="1" applyFill="1" applyBorder="1" applyAlignment="1" applyProtection="1">
      <alignment horizontal="center" vertical="center"/>
      <protection hidden="1"/>
    </xf>
    <xf numFmtId="0" fontId="35" fillId="44" borderId="21" xfId="0" applyFont="1" applyFill="1" applyBorder="1" applyAlignment="1" applyProtection="1">
      <alignment horizontal="center" vertical="center"/>
      <protection hidden="1"/>
    </xf>
    <xf numFmtId="0" fontId="2" fillId="0" borderId="4" xfId="0" applyFont="1" applyBorder="1" applyAlignment="1" applyProtection="1">
      <alignment horizontal="justify" vertical="center"/>
      <protection hidden="1"/>
    </xf>
    <xf numFmtId="0" fontId="10" fillId="0" borderId="4" xfId="0" applyFont="1" applyBorder="1" applyAlignment="1" applyProtection="1">
      <alignment horizontal="justify" vertical="center"/>
      <protection hidden="1"/>
    </xf>
    <xf numFmtId="0" fontId="2" fillId="0" borderId="4" xfId="0" applyFont="1" applyBorder="1" applyAlignment="1" applyProtection="1">
      <alignment horizontal="justify" vertical="center" wrapText="1"/>
      <protection hidden="1"/>
    </xf>
    <xf numFmtId="0" fontId="19" fillId="0" borderId="4" xfId="0" applyFont="1" applyBorder="1" applyAlignment="1" applyProtection="1">
      <alignment horizontal="justify" vertical="center"/>
      <protection hidden="1"/>
    </xf>
    <xf numFmtId="0" fontId="35" fillId="0" borderId="14" xfId="0" applyFont="1" applyBorder="1" applyAlignment="1" applyProtection="1">
      <alignment horizontal="center" vertical="center"/>
      <protection hidden="1"/>
    </xf>
    <xf numFmtId="0" fontId="9" fillId="0" borderId="4" xfId="0" applyFont="1" applyBorder="1" applyAlignment="1" applyProtection="1">
      <alignment horizontal="justify" vertical="center" wrapText="1"/>
      <protection hidden="1"/>
    </xf>
    <xf numFmtId="0" fontId="19" fillId="13" borderId="4" xfId="0" applyFont="1" applyFill="1" applyBorder="1" applyAlignment="1" applyProtection="1">
      <alignment horizontal="justify" vertical="center"/>
      <protection hidden="1"/>
    </xf>
    <xf numFmtId="0" fontId="35" fillId="0" borderId="14" xfId="0" applyFont="1" applyBorder="1" applyAlignment="1" applyProtection="1">
      <alignment horizontal="center" vertical="center" wrapText="1"/>
      <protection hidden="1"/>
    </xf>
    <xf numFmtId="0" fontId="28" fillId="20" borderId="9" xfId="0" applyFont="1" applyFill="1" applyBorder="1" applyAlignment="1" applyProtection="1">
      <alignment horizontal="left" vertical="top" wrapText="1"/>
      <protection hidden="1"/>
    </xf>
    <xf numFmtId="0" fontId="28" fillId="20" borderId="13" xfId="0" applyFont="1" applyFill="1" applyBorder="1" applyAlignment="1" applyProtection="1">
      <alignment horizontal="left" vertical="top" wrapText="1"/>
      <protection hidden="1"/>
    </xf>
    <xf numFmtId="0" fontId="28" fillId="20" borderId="21" xfId="0" applyFont="1" applyFill="1" applyBorder="1" applyAlignment="1" applyProtection="1">
      <alignment horizontal="left" vertical="top" wrapText="1"/>
      <protection hidden="1"/>
    </xf>
    <xf numFmtId="0" fontId="14" fillId="0" borderId="4" xfId="0" applyFont="1" applyBorder="1" applyAlignment="1" applyProtection="1">
      <alignment horizontal="center"/>
      <protection hidden="1"/>
    </xf>
    <xf numFmtId="0" fontId="10" fillId="0" borderId="14" xfId="0" applyFont="1" applyBorder="1" applyAlignment="1" applyProtection="1">
      <alignment horizontal="center" vertical="center"/>
      <protection hidden="1"/>
    </xf>
    <xf numFmtId="0" fontId="27" fillId="0" borderId="4" xfId="0" applyFont="1" applyBorder="1" applyAlignment="1" applyProtection="1">
      <alignment horizontal="left" vertical="center"/>
      <protection hidden="1"/>
    </xf>
    <xf numFmtId="41" fontId="9" fillId="0" borderId="4" xfId="0" applyNumberFormat="1" applyFont="1" applyBorder="1" applyAlignment="1" applyProtection="1">
      <alignment horizontal="left" vertical="center"/>
      <protection hidden="1"/>
    </xf>
    <xf numFmtId="0" fontId="9" fillId="0" borderId="4" xfId="0" applyFont="1" applyBorder="1" applyAlignment="1" applyProtection="1">
      <alignment horizontal="left" vertical="center"/>
      <protection hidden="1"/>
    </xf>
    <xf numFmtId="0" fontId="13" fillId="0" borderId="4" xfId="0" applyFont="1" applyBorder="1" applyAlignment="1" applyProtection="1">
      <alignment horizontal="center" vertical="center"/>
      <protection hidden="1"/>
    </xf>
    <xf numFmtId="0" fontId="25" fillId="0" borderId="4" xfId="0" applyFont="1" applyBorder="1" applyAlignment="1">
      <alignment horizontal="center" vertical="center"/>
    </xf>
    <xf numFmtId="0" fontId="19" fillId="44" borderId="4" xfId="0" applyFont="1" applyFill="1" applyBorder="1" applyAlignment="1" applyProtection="1">
      <alignment horizontal="center" vertical="center"/>
      <protection hidden="1"/>
    </xf>
    <xf numFmtId="0" fontId="10" fillId="0" borderId="165" xfId="0" applyFont="1" applyBorder="1" applyAlignment="1" applyProtection="1">
      <alignment horizontal="center" vertical="center" wrapText="1"/>
      <protection hidden="1"/>
    </xf>
    <xf numFmtId="0" fontId="10" fillId="0" borderId="169" xfId="0" applyFont="1" applyBorder="1" applyAlignment="1" applyProtection="1">
      <alignment horizontal="center" vertical="center"/>
      <protection hidden="1"/>
    </xf>
    <xf numFmtId="0" fontId="10" fillId="0" borderId="168" xfId="0" applyFont="1" applyBorder="1" applyAlignment="1" applyProtection="1">
      <alignment horizontal="center" vertical="center"/>
      <protection hidden="1"/>
    </xf>
    <xf numFmtId="0" fontId="10" fillId="0" borderId="31"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 fillId="0" borderId="35" xfId="0" applyFont="1" applyBorder="1" applyAlignment="1" applyProtection="1">
      <alignment horizontal="center" vertical="center"/>
      <protection hidden="1"/>
    </xf>
    <xf numFmtId="0" fontId="73" fillId="0" borderId="4" xfId="0" applyFont="1" applyBorder="1" applyAlignment="1" applyProtection="1">
      <alignment horizontal="center" vertical="center" wrapText="1"/>
      <protection hidden="1"/>
    </xf>
    <xf numFmtId="0" fontId="20" fillId="0" borderId="4" xfId="0" applyFont="1" applyBorder="1" applyAlignment="1">
      <alignment horizontal="justify" vertical="center" wrapText="1"/>
    </xf>
    <xf numFmtId="0" fontId="134" fillId="57" borderId="121" xfId="21" applyFont="1" applyFill="1" applyBorder="1" applyAlignment="1">
      <alignment horizontal="center" vertical="center" wrapText="1"/>
    </xf>
    <xf numFmtId="0" fontId="134" fillId="57" borderId="122" xfId="21" applyFont="1" applyFill="1" applyBorder="1" applyAlignment="1">
      <alignment horizontal="center" vertical="center" wrapText="1"/>
    </xf>
    <xf numFmtId="0" fontId="134" fillId="57" borderId="123" xfId="21" applyFont="1" applyFill="1" applyBorder="1" applyAlignment="1">
      <alignment horizontal="center" vertical="center" wrapText="1"/>
    </xf>
    <xf numFmtId="0" fontId="10" fillId="0" borderId="97" xfId="0" applyFont="1" applyBorder="1" applyAlignment="1">
      <alignment horizontal="justify" vertical="center" wrapText="1"/>
    </xf>
    <xf numFmtId="0" fontId="13" fillId="0" borderId="98" xfId="0" applyFont="1" applyBorder="1" applyAlignment="1">
      <alignment horizontal="justify" vertical="center" wrapText="1"/>
    </xf>
    <xf numFmtId="0" fontId="13" fillId="0" borderId="5" xfId="0" applyFont="1" applyBorder="1" applyAlignment="1">
      <alignment horizontal="justify" vertical="center" wrapText="1"/>
    </xf>
    <xf numFmtId="0" fontId="60" fillId="0" borderId="0" xfId="0" applyFont="1" applyAlignment="1">
      <alignment horizontal="center" vertical="center" wrapText="1"/>
    </xf>
    <xf numFmtId="0" fontId="13" fillId="0" borderId="4" xfId="0" applyFont="1" applyBorder="1" applyAlignment="1">
      <alignment horizontal="justify" vertical="center" wrapText="1"/>
    </xf>
    <xf numFmtId="0" fontId="138" fillId="38" borderId="19" xfId="21" applyFont="1" applyBorder="1" applyAlignment="1">
      <alignment horizontal="center" vertical="center" wrapText="1"/>
    </xf>
    <xf numFmtId="0" fontId="138" fillId="38" borderId="38" xfId="21" applyFont="1" applyBorder="1" applyAlignment="1">
      <alignment horizontal="center" vertical="center" wrapText="1"/>
    </xf>
    <xf numFmtId="0" fontId="43" fillId="58" borderId="9" xfId="0" applyFont="1" applyFill="1" applyBorder="1" applyAlignment="1" applyProtection="1">
      <alignment horizontal="justify" vertical="center" wrapText="1"/>
      <protection hidden="1"/>
    </xf>
    <xf numFmtId="0" fontId="43" fillId="58" borderId="13" xfId="0" applyFont="1" applyFill="1" applyBorder="1" applyAlignment="1" applyProtection="1">
      <alignment horizontal="justify" vertical="center" wrapText="1"/>
      <protection hidden="1"/>
    </xf>
    <xf numFmtId="0" fontId="43" fillId="58" borderId="21" xfId="0" applyFont="1" applyFill="1" applyBorder="1" applyAlignment="1" applyProtection="1">
      <alignment horizontal="justify" vertical="center" wrapText="1"/>
      <protection hidden="1"/>
    </xf>
    <xf numFmtId="0" fontId="29" fillId="57" borderId="97" xfId="21" applyFont="1" applyFill="1" applyBorder="1" applyAlignment="1">
      <alignment horizontal="center" vertical="center" wrapText="1"/>
    </xf>
    <xf numFmtId="0" fontId="29" fillId="57" borderId="98" xfId="21" applyFont="1" applyFill="1" applyBorder="1" applyAlignment="1">
      <alignment horizontal="center" vertical="center" wrapText="1"/>
    </xf>
    <xf numFmtId="0" fontId="29" fillId="57" borderId="5" xfId="21" applyFont="1" applyFill="1" applyBorder="1" applyAlignment="1">
      <alignment horizontal="center" vertical="center" wrapText="1"/>
    </xf>
    <xf numFmtId="0" fontId="73" fillId="0" borderId="99" xfId="0" applyFont="1" applyBorder="1" applyAlignment="1">
      <alignment horizontal="justify" vertical="center" wrapText="1"/>
    </xf>
    <xf numFmtId="0" fontId="133" fillId="0" borderId="100" xfId="0" applyFont="1" applyBorder="1" applyAlignment="1">
      <alignment horizontal="justify" vertical="center" wrapText="1"/>
    </xf>
    <xf numFmtId="0" fontId="133" fillId="0" borderId="101" xfId="0" applyFont="1" applyBorder="1" applyAlignment="1">
      <alignment horizontal="justify" vertical="center" wrapText="1"/>
    </xf>
    <xf numFmtId="0" fontId="112" fillId="38" borderId="103" xfId="21" applyFont="1" applyBorder="1" applyAlignment="1">
      <alignment horizontal="center" vertical="center" wrapText="1"/>
    </xf>
    <xf numFmtId="0" fontId="112" fillId="38" borderId="3" xfId="21" applyFont="1" applyBorder="1" applyAlignment="1">
      <alignment horizontal="center" vertical="center" wrapText="1"/>
    </xf>
    <xf numFmtId="0" fontId="13" fillId="0" borderId="99" xfId="0" applyFont="1" applyBorder="1" applyAlignment="1">
      <alignment horizontal="justify" vertical="center" wrapText="1"/>
    </xf>
    <xf numFmtId="0" fontId="13" fillId="0" borderId="100" xfId="0" applyFont="1" applyBorder="1" applyAlignment="1">
      <alignment horizontal="justify" vertical="center" wrapText="1"/>
    </xf>
    <xf numFmtId="0" fontId="13" fillId="0" borderId="101" xfId="0" applyFont="1" applyBorder="1" applyAlignment="1">
      <alignment horizontal="justify" vertical="center" wrapText="1"/>
    </xf>
    <xf numFmtId="0" fontId="118" fillId="56" borderId="116" xfId="16" applyFont="1" applyFill="1" applyBorder="1" applyAlignment="1" applyProtection="1">
      <alignment horizontal="center" vertical="center" wrapText="1"/>
    </xf>
    <xf numFmtId="0" fontId="118" fillId="56" borderId="117" xfId="16" applyFont="1" applyFill="1" applyBorder="1" applyAlignment="1" applyProtection="1">
      <alignment horizontal="center" vertical="center" wrapText="1"/>
    </xf>
    <xf numFmtId="0" fontId="27" fillId="13" borderId="4" xfId="16" applyFont="1" applyFill="1" applyBorder="1" applyAlignment="1" applyProtection="1">
      <alignment horizontal="justify" vertical="center" wrapText="1"/>
    </xf>
    <xf numFmtId="0" fontId="43" fillId="57" borderId="9" xfId="16" applyFont="1" applyFill="1" applyBorder="1" applyAlignment="1" applyProtection="1">
      <alignment horizontal="justify" vertical="center" wrapText="1"/>
    </xf>
    <xf numFmtId="0" fontId="43" fillId="57" borderId="13" xfId="16" applyFont="1" applyFill="1" applyBorder="1" applyAlignment="1" applyProtection="1">
      <alignment horizontal="justify" vertical="center" wrapText="1"/>
    </xf>
    <xf numFmtId="0" fontId="43" fillId="57" borderId="21" xfId="16" applyFont="1" applyFill="1" applyBorder="1" applyAlignment="1" applyProtection="1">
      <alignment horizontal="justify" vertical="center" wrapText="1"/>
    </xf>
    <xf numFmtId="0" fontId="11" fillId="13" borderId="0" xfId="0" applyFont="1" applyFill="1" applyAlignment="1" applyProtection="1">
      <alignment horizontal="center" vertical="center" wrapText="1"/>
      <protection hidden="1"/>
    </xf>
    <xf numFmtId="0" fontId="11" fillId="13" borderId="26" xfId="0" applyFont="1" applyFill="1" applyBorder="1" applyAlignment="1" applyProtection="1">
      <alignment horizontal="center" vertical="center" wrapText="1"/>
      <protection hidden="1"/>
    </xf>
    <xf numFmtId="0" fontId="43" fillId="57" borderId="9" xfId="16" applyFont="1" applyFill="1" applyBorder="1" applyAlignment="1" applyProtection="1">
      <alignment horizontal="center" vertical="center" wrapText="1"/>
    </xf>
    <xf numFmtId="0" fontId="43" fillId="57" borderId="13" xfId="16" applyFont="1" applyFill="1" applyBorder="1" applyAlignment="1" applyProtection="1">
      <alignment horizontal="center" vertical="center" wrapText="1"/>
    </xf>
    <xf numFmtId="0" fontId="73" fillId="44" borderId="14" xfId="0" applyFont="1" applyFill="1" applyBorder="1" applyAlignment="1" applyProtection="1">
      <alignment horizontal="center" vertical="center" wrapText="1"/>
      <protection hidden="1"/>
    </xf>
    <xf numFmtId="0" fontId="129" fillId="0" borderId="9" xfId="0" applyFont="1" applyBorder="1" applyAlignment="1" applyProtection="1">
      <alignment horizontal="justify" vertical="center" wrapText="1"/>
      <protection hidden="1"/>
    </xf>
    <xf numFmtId="0" fontId="129" fillId="0" borderId="21" xfId="0" applyFont="1" applyBorder="1" applyAlignment="1" applyProtection="1">
      <alignment horizontal="justify" vertical="center" wrapText="1"/>
      <protection hidden="1"/>
    </xf>
    <xf numFmtId="0" fontId="21" fillId="0" borderId="4" xfId="0" applyFont="1" applyBorder="1" applyAlignment="1">
      <alignment horizontal="center" vertical="center" wrapText="1"/>
    </xf>
    <xf numFmtId="0" fontId="21" fillId="0" borderId="4" xfId="0" applyFont="1" applyBorder="1" applyAlignment="1">
      <alignment horizontal="justify" vertical="center" wrapText="1"/>
    </xf>
    <xf numFmtId="41" fontId="9" fillId="0" borderId="4" xfId="0" applyNumberFormat="1" applyFont="1" applyBorder="1" applyAlignment="1" applyProtection="1">
      <alignment horizontal="left" vertical="center" wrapText="1"/>
      <protection hidden="1"/>
    </xf>
    <xf numFmtId="0" fontId="9" fillId="0" borderId="4" xfId="0" applyFont="1" applyBorder="1" applyAlignment="1" applyProtection="1">
      <alignment horizontal="left" vertical="center" wrapText="1"/>
      <protection hidden="1"/>
    </xf>
    <xf numFmtId="0" fontId="14" fillId="0" borderId="4" xfId="0" applyFont="1" applyBorder="1" applyAlignment="1" applyProtection="1">
      <alignment horizontal="center" vertical="center" wrapText="1"/>
      <protection hidden="1"/>
    </xf>
    <xf numFmtId="0" fontId="27" fillId="0" borderId="4" xfId="0" applyFont="1" applyBorder="1" applyAlignment="1" applyProtection="1">
      <alignment horizontal="left" wrapText="1"/>
      <protection hidden="1"/>
    </xf>
    <xf numFmtId="0" fontId="111" fillId="0" borderId="95" xfId="0" applyFont="1" applyBorder="1" applyAlignment="1" applyProtection="1">
      <alignment horizontal="left" wrapText="1"/>
      <protection locked="0"/>
    </xf>
    <xf numFmtId="0" fontId="14" fillId="53" borderId="4" xfId="5" applyFont="1" applyFill="1" applyBorder="1" applyAlignment="1" applyProtection="1">
      <alignment horizontal="justify" vertical="center" wrapText="1"/>
      <protection hidden="1"/>
    </xf>
    <xf numFmtId="0" fontId="112" fillId="54" borderId="97" xfId="5" applyFont="1" applyFill="1" applyBorder="1" applyAlignment="1" applyProtection="1">
      <alignment horizontal="center" vertical="center" wrapText="1"/>
      <protection hidden="1"/>
    </xf>
    <xf numFmtId="0" fontId="112" fillId="54" borderId="98" xfId="5" applyFont="1" applyFill="1" applyBorder="1" applyAlignment="1" applyProtection="1">
      <alignment horizontal="center" vertical="center" wrapText="1"/>
      <protection hidden="1"/>
    </xf>
    <xf numFmtId="0" fontId="112" fillId="54" borderId="100" xfId="5" applyFont="1" applyFill="1" applyBorder="1" applyAlignment="1" applyProtection="1">
      <alignment horizontal="center" vertical="center" wrapText="1"/>
      <protection hidden="1"/>
    </xf>
    <xf numFmtId="0" fontId="112" fillId="54" borderId="5" xfId="5" applyFont="1" applyFill="1" applyBorder="1" applyAlignment="1" applyProtection="1">
      <alignment horizontal="center" vertical="center" wrapText="1"/>
      <protection hidden="1"/>
    </xf>
    <xf numFmtId="0" fontId="13" fillId="53" borderId="4" xfId="5" applyFont="1" applyFill="1" applyBorder="1" applyAlignment="1">
      <alignment horizontal="justify" vertical="center" wrapText="1"/>
    </xf>
    <xf numFmtId="0" fontId="112" fillId="54" borderId="9" xfId="5" applyFont="1" applyFill="1" applyBorder="1" applyAlignment="1">
      <alignment horizontal="center" vertical="center" wrapText="1"/>
    </xf>
    <xf numFmtId="0" fontId="112" fillId="54" borderId="13" xfId="5" applyFont="1" applyFill="1" applyBorder="1" applyAlignment="1">
      <alignment horizontal="center" vertical="center" wrapText="1"/>
    </xf>
    <xf numFmtId="0" fontId="112" fillId="54" borderId="21" xfId="5" applyFont="1" applyFill="1" applyBorder="1" applyAlignment="1">
      <alignment horizontal="center" vertical="center" wrapText="1"/>
    </xf>
    <xf numFmtId="0" fontId="114" fillId="55" borderId="102" xfId="16" applyFont="1" applyFill="1" applyBorder="1" applyAlignment="1" applyProtection="1">
      <alignment horizontal="center" vertical="center" wrapText="1"/>
    </xf>
    <xf numFmtId="0" fontId="114" fillId="55" borderId="0" xfId="16" applyFont="1" applyFill="1" applyAlignment="1" applyProtection="1">
      <alignment horizontal="center" vertical="center" wrapText="1"/>
    </xf>
    <xf numFmtId="0" fontId="114" fillId="55" borderId="26" xfId="16" applyFont="1" applyFill="1" applyBorder="1" applyAlignment="1" applyProtection="1">
      <alignment horizontal="center" vertical="center" wrapText="1"/>
    </xf>
    <xf numFmtId="0" fontId="11" fillId="55" borderId="111" xfId="5" applyFont="1" applyFill="1" applyBorder="1" applyAlignment="1">
      <alignment horizontal="right" vertical="center" wrapText="1"/>
    </xf>
    <xf numFmtId="0" fontId="11" fillId="55" borderId="73" xfId="5" applyFont="1" applyFill="1" applyBorder="1" applyAlignment="1">
      <alignment horizontal="right" vertical="center" wrapText="1"/>
    </xf>
    <xf numFmtId="0" fontId="11" fillId="55" borderId="0" xfId="5" applyFont="1" applyFill="1" applyAlignment="1">
      <alignment horizontal="right" vertical="center" wrapText="1"/>
    </xf>
    <xf numFmtId="0" fontId="10" fillId="55" borderId="112" xfId="5" applyFont="1" applyFill="1" applyBorder="1" applyAlignment="1">
      <alignment horizontal="center" vertical="center" wrapText="1"/>
    </xf>
    <xf numFmtId="0" fontId="10" fillId="55" borderId="71" xfId="5" applyFont="1" applyFill="1" applyBorder="1" applyAlignment="1">
      <alignment horizontal="center" vertical="center" wrapText="1"/>
    </xf>
    <xf numFmtId="0" fontId="10" fillId="55" borderId="56" xfId="5" applyFont="1" applyFill="1" applyBorder="1" applyAlignment="1">
      <alignment horizontal="center" vertical="center" wrapText="1"/>
    </xf>
    <xf numFmtId="0" fontId="10" fillId="55" borderId="113" xfId="5" applyFont="1" applyFill="1" applyBorder="1" applyAlignment="1">
      <alignment horizontal="center" vertical="center" wrapText="1"/>
    </xf>
    <xf numFmtId="0" fontId="10" fillId="55" borderId="76" xfId="5" applyFont="1" applyFill="1" applyBorder="1" applyAlignment="1">
      <alignment horizontal="center" vertical="center" wrapText="1"/>
    </xf>
    <xf numFmtId="0" fontId="118" fillId="56" borderId="115" xfId="16" applyFont="1" applyFill="1" applyBorder="1" applyAlignment="1" applyProtection="1">
      <alignment horizontal="center" vertical="center" wrapText="1"/>
    </xf>
    <xf numFmtId="0" fontId="118" fillId="56" borderId="82" xfId="16" applyFont="1" applyFill="1" applyBorder="1" applyAlignment="1" applyProtection="1">
      <alignment horizontal="center" vertical="center" wrapText="1"/>
    </xf>
    <xf numFmtId="0" fontId="151" fillId="4" borderId="4" xfId="5" applyFont="1" applyFill="1" applyBorder="1" applyAlignment="1" applyProtection="1">
      <alignment horizontal="justify" vertical="center" wrapText="1"/>
      <protection hidden="1"/>
    </xf>
    <xf numFmtId="0" fontId="154" fillId="0" borderId="0" xfId="0" applyFont="1" applyAlignment="1">
      <alignment horizontal="left" vertical="center"/>
    </xf>
    <xf numFmtId="0" fontId="154" fillId="0" borderId="102" xfId="0" applyFont="1" applyBorder="1" applyAlignment="1" applyProtection="1">
      <alignment horizontal="left" vertical="center"/>
      <protection hidden="1"/>
    </xf>
    <xf numFmtId="0" fontId="154" fillId="0" borderId="0" xfId="0" applyFont="1" applyAlignment="1" applyProtection="1">
      <alignment horizontal="left" vertical="center"/>
      <protection hidden="1"/>
    </xf>
    <xf numFmtId="0" fontId="14" fillId="0" borderId="102" xfId="0" applyFont="1" applyBorder="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4" fillId="0" borderId="103" xfId="0" applyFont="1" applyBorder="1" applyAlignment="1" applyProtection="1">
      <alignment horizontal="justify" vertical="center" wrapText="1"/>
      <protection hidden="1"/>
    </xf>
    <xf numFmtId="0" fontId="14" fillId="0" borderId="2" xfId="0" applyFont="1" applyBorder="1" applyAlignment="1" applyProtection="1">
      <alignment horizontal="justify" vertical="center" wrapText="1"/>
      <protection hidden="1"/>
    </xf>
    <xf numFmtId="0" fontId="14" fillId="0" borderId="3" xfId="0" applyFont="1" applyBorder="1" applyAlignment="1" applyProtection="1">
      <alignment horizontal="justify" vertical="center" wrapText="1"/>
      <protection hidden="1"/>
    </xf>
    <xf numFmtId="0" fontId="156" fillId="0" borderId="0" xfId="0" applyFont="1" applyAlignment="1">
      <alignment horizontal="left" vertical="center"/>
    </xf>
    <xf numFmtId="0" fontId="151" fillId="4" borderId="22" xfId="5" applyFont="1" applyFill="1" applyBorder="1" applyAlignment="1" applyProtection="1">
      <alignment horizontal="justify" vertical="center" wrapText="1"/>
      <protection hidden="1"/>
    </xf>
    <xf numFmtId="0" fontId="14" fillId="13" borderId="99" xfId="0" applyFont="1" applyFill="1" applyBorder="1" applyAlignment="1" applyProtection="1">
      <alignment horizontal="left" vertical="center" wrapText="1"/>
      <protection hidden="1"/>
    </xf>
    <xf numFmtId="0" fontId="14" fillId="13" borderId="100" xfId="0" applyFont="1" applyFill="1" applyBorder="1" applyAlignment="1" applyProtection="1">
      <alignment horizontal="left" vertical="center" wrapText="1"/>
      <protection hidden="1"/>
    </xf>
    <xf numFmtId="0" fontId="14" fillId="13" borderId="101" xfId="0" applyFont="1" applyFill="1" applyBorder="1" applyAlignment="1" applyProtection="1">
      <alignment horizontal="left" vertical="center" wrapText="1"/>
      <protection hidden="1"/>
    </xf>
    <xf numFmtId="0" fontId="40" fillId="0" borderId="102" xfId="0" applyFont="1" applyBorder="1" applyAlignment="1" applyProtection="1">
      <alignment horizontal="justify" vertical="center" wrapText="1"/>
      <protection hidden="1"/>
    </xf>
    <xf numFmtId="0" fontId="40" fillId="0" borderId="0" xfId="0" applyFont="1" applyAlignment="1" applyProtection="1">
      <alignment horizontal="justify" vertical="center" wrapText="1"/>
      <protection hidden="1"/>
    </xf>
    <xf numFmtId="0" fontId="40" fillId="0" borderId="26" xfId="0" applyFont="1" applyBorder="1" applyAlignment="1" applyProtection="1">
      <alignment horizontal="justify" vertical="center" wrapText="1"/>
      <protection hidden="1"/>
    </xf>
    <xf numFmtId="0" fontId="37" fillId="0" borderId="102" xfId="0" applyFont="1" applyBorder="1" applyAlignment="1" applyProtection="1">
      <alignment horizontal="center" vertical="center" wrapText="1"/>
      <protection hidden="1"/>
    </xf>
    <xf numFmtId="0" fontId="37" fillId="0" borderId="0" xfId="0" applyFont="1" applyAlignment="1" applyProtection="1">
      <alignment horizontal="center" vertical="center" wrapText="1"/>
      <protection hidden="1"/>
    </xf>
    <xf numFmtId="0" fontId="53" fillId="4" borderId="20" xfId="5" applyFont="1" applyFill="1" applyBorder="1" applyAlignment="1" applyProtection="1">
      <alignment horizontal="center" vertical="center" wrapText="1"/>
      <protection hidden="1"/>
    </xf>
    <xf numFmtId="0" fontId="53" fillId="4" borderId="24" xfId="5" applyFont="1" applyFill="1" applyBorder="1" applyAlignment="1" applyProtection="1">
      <alignment horizontal="center" vertical="center" wrapText="1"/>
      <protection hidden="1"/>
    </xf>
    <xf numFmtId="0" fontId="53" fillId="4" borderId="14" xfId="5" applyFont="1" applyFill="1" applyBorder="1" applyAlignment="1" applyProtection="1">
      <alignment horizontal="center" vertical="center" wrapText="1"/>
      <protection hidden="1"/>
    </xf>
    <xf numFmtId="0" fontId="151" fillId="4" borderId="4" xfId="5" applyFont="1" applyFill="1" applyBorder="1" applyAlignment="1" applyProtection="1">
      <alignment horizontal="center" vertical="center" wrapText="1"/>
      <protection hidden="1"/>
    </xf>
    <xf numFmtId="9" fontId="110" fillId="15" borderId="28" xfId="5" applyNumberFormat="1" applyFont="1" applyFill="1" applyBorder="1" applyAlignment="1" applyProtection="1">
      <alignment horizontal="center" vertical="center"/>
      <protection locked="0"/>
    </xf>
    <xf numFmtId="9" fontId="110" fillId="15" borderId="133" xfId="5" applyNumberFormat="1" applyFont="1" applyFill="1" applyBorder="1" applyAlignment="1" applyProtection="1">
      <alignment horizontal="center" vertical="center"/>
      <protection locked="0"/>
    </xf>
    <xf numFmtId="9" fontId="110" fillId="15" borderId="15" xfId="5" applyNumberFormat="1" applyFont="1" applyFill="1" applyBorder="1" applyAlignment="1" applyProtection="1">
      <alignment horizontal="center" vertical="center"/>
      <protection locked="0"/>
    </xf>
    <xf numFmtId="0" fontId="65" fillId="4" borderId="16" xfId="5" applyFont="1" applyFill="1" applyBorder="1" applyAlignment="1" applyProtection="1">
      <alignment horizontal="center" vertical="center" wrapText="1"/>
      <protection hidden="1"/>
    </xf>
    <xf numFmtId="0" fontId="65" fillId="4" borderId="25" xfId="5" applyFont="1" applyFill="1" applyBorder="1" applyAlignment="1" applyProtection="1">
      <alignment horizontal="center" vertical="center" wrapText="1"/>
      <protection hidden="1"/>
    </xf>
    <xf numFmtId="0" fontId="152" fillId="4" borderId="4" xfId="5" applyFont="1" applyFill="1" applyBorder="1" applyAlignment="1" applyProtection="1">
      <alignment horizontal="justify" vertical="center" wrapText="1"/>
      <protection hidden="1"/>
    </xf>
    <xf numFmtId="0" fontId="65" fillId="4" borderId="4" xfId="5" applyFont="1" applyFill="1" applyBorder="1" applyAlignment="1" applyProtection="1">
      <alignment horizontal="center" vertical="center" textRotation="90" wrapText="1"/>
      <protection hidden="1"/>
    </xf>
    <xf numFmtId="0" fontId="53" fillId="4" borderId="4" xfId="5" applyFont="1" applyFill="1" applyBorder="1" applyAlignment="1" applyProtection="1">
      <alignment horizontal="center" vertical="center" textRotation="90" wrapText="1"/>
      <protection hidden="1"/>
    </xf>
    <xf numFmtId="0" fontId="53" fillId="4" borderId="22" xfId="5" applyFont="1" applyFill="1" applyBorder="1" applyAlignment="1" applyProtection="1">
      <alignment horizontal="center" vertical="center" textRotation="90" wrapText="1"/>
      <protection hidden="1"/>
    </xf>
    <xf numFmtId="0" fontId="152" fillId="4" borderId="4" xfId="5" applyFont="1" applyFill="1" applyBorder="1" applyAlignment="1" applyProtection="1">
      <alignment horizontal="center" vertical="center" wrapText="1"/>
      <protection hidden="1"/>
    </xf>
    <xf numFmtId="0" fontId="152" fillId="4" borderId="22" xfId="5" applyFont="1" applyFill="1" applyBorder="1" applyAlignment="1" applyProtection="1">
      <alignment horizontal="center" vertical="center" wrapText="1"/>
      <protection hidden="1"/>
    </xf>
    <xf numFmtId="0" fontId="151" fillId="4" borderId="22" xfId="5" applyFont="1" applyFill="1" applyBorder="1" applyAlignment="1" applyProtection="1">
      <alignment horizontal="center" vertical="center" wrapText="1"/>
      <protection hidden="1"/>
    </xf>
    <xf numFmtId="0" fontId="65" fillId="4" borderId="10" xfId="5" applyFont="1" applyFill="1" applyBorder="1" applyAlignment="1" applyProtection="1">
      <alignment horizontal="center" vertical="center" wrapText="1"/>
      <protection hidden="1"/>
    </xf>
    <xf numFmtId="0" fontId="151" fillId="4" borderId="11" xfId="5" applyFont="1" applyFill="1" applyBorder="1" applyAlignment="1" applyProtection="1">
      <alignment horizontal="justify" vertical="center" wrapText="1"/>
      <protection hidden="1"/>
    </xf>
    <xf numFmtId="0" fontId="65" fillId="4" borderId="11" xfId="5" applyFont="1" applyFill="1" applyBorder="1" applyAlignment="1" applyProtection="1">
      <alignment horizontal="center" vertical="center" textRotation="90" wrapText="1"/>
      <protection hidden="1"/>
    </xf>
    <xf numFmtId="0" fontId="151" fillId="4" borderId="11" xfId="5" applyFont="1" applyFill="1" applyBorder="1" applyAlignment="1" applyProtection="1">
      <alignment horizontal="center" vertical="center" wrapText="1"/>
      <protection hidden="1"/>
    </xf>
    <xf numFmtId="10" fontId="110" fillId="15" borderId="17" xfId="5" applyNumberFormat="1" applyFont="1" applyFill="1" applyBorder="1" applyAlignment="1" applyProtection="1">
      <alignment horizontal="center" vertical="center"/>
      <protection locked="0"/>
    </xf>
    <xf numFmtId="0" fontId="53" fillId="4" borderId="4" xfId="5" applyFont="1" applyFill="1" applyBorder="1" applyAlignment="1" applyProtection="1">
      <alignment horizontal="center" vertical="center" wrapText="1"/>
      <protection hidden="1"/>
    </xf>
    <xf numFmtId="0" fontId="23" fillId="22" borderId="135" xfId="12" applyFont="1" applyBorder="1" applyAlignment="1" applyProtection="1">
      <alignment horizontal="center" vertical="center" wrapText="1"/>
      <protection hidden="1"/>
    </xf>
    <xf numFmtId="0" fontId="23" fillId="22" borderId="98" xfId="12" applyFont="1" applyBorder="1" applyAlignment="1" applyProtection="1">
      <alignment horizontal="center" vertical="center" wrapText="1"/>
      <protection hidden="1"/>
    </xf>
    <xf numFmtId="0" fontId="23" fillId="22" borderId="136" xfId="12" applyFont="1" applyBorder="1" applyAlignment="1" applyProtection="1">
      <alignment horizontal="center" vertical="center" wrapText="1"/>
      <protection hidden="1"/>
    </xf>
    <xf numFmtId="0" fontId="53" fillId="4" borderId="7" xfId="5" applyFont="1" applyFill="1" applyBorder="1" applyAlignment="1" applyProtection="1">
      <alignment horizontal="center" vertical="center" wrapText="1"/>
      <protection hidden="1"/>
    </xf>
    <xf numFmtId="0" fontId="53" fillId="4" borderId="20" xfId="5" applyFont="1" applyFill="1" applyBorder="1" applyAlignment="1" applyProtection="1">
      <alignment horizontal="center" vertical="center" textRotation="90" wrapText="1"/>
      <protection hidden="1"/>
    </xf>
    <xf numFmtId="0" fontId="151" fillId="4" borderId="7" xfId="5" applyFont="1" applyFill="1" applyBorder="1" applyAlignment="1" applyProtection="1">
      <alignment horizontal="justify" vertical="center" wrapText="1"/>
      <protection hidden="1"/>
    </xf>
    <xf numFmtId="0" fontId="151" fillId="4" borderId="24" xfId="5" applyFont="1" applyFill="1" applyBorder="1" applyAlignment="1" applyProtection="1">
      <alignment horizontal="justify" vertical="center" wrapText="1"/>
      <protection hidden="1"/>
    </xf>
    <xf numFmtId="0" fontId="151" fillId="4" borderId="47" xfId="5" applyFont="1" applyFill="1" applyBorder="1" applyAlignment="1" applyProtection="1">
      <alignment horizontal="justify" vertical="center" wrapText="1"/>
      <protection hidden="1"/>
    </xf>
    <xf numFmtId="9" fontId="110" fillId="15" borderId="8" xfId="5" applyNumberFormat="1" applyFont="1" applyFill="1" applyBorder="1" applyAlignment="1" applyProtection="1">
      <alignment horizontal="center" vertical="center"/>
      <protection locked="0"/>
    </xf>
    <xf numFmtId="0" fontId="65" fillId="4" borderId="29" xfId="5" applyFont="1" applyFill="1" applyBorder="1" applyAlignment="1" applyProtection="1">
      <alignment horizontal="center" vertical="center" wrapText="1"/>
      <protection hidden="1"/>
    </xf>
    <xf numFmtId="0" fontId="53" fillId="4" borderId="47" xfId="5" applyFont="1" applyFill="1" applyBorder="1" applyAlignment="1" applyProtection="1">
      <alignment horizontal="center" vertical="center" wrapText="1"/>
      <protection hidden="1"/>
    </xf>
    <xf numFmtId="0" fontId="151" fillId="4" borderId="20" xfId="5" applyFont="1" applyFill="1" applyBorder="1" applyAlignment="1" applyProtection="1">
      <alignment horizontal="center" vertical="center" wrapText="1"/>
      <protection hidden="1"/>
    </xf>
    <xf numFmtId="9" fontId="110" fillId="15" borderId="129" xfId="5" applyNumberFormat="1" applyFont="1" applyFill="1" applyBorder="1" applyAlignment="1" applyProtection="1">
      <alignment horizontal="center" vertical="center"/>
      <protection locked="0"/>
    </xf>
    <xf numFmtId="0" fontId="151" fillId="4" borderId="20" xfId="5" applyFont="1" applyFill="1" applyBorder="1" applyAlignment="1" applyProtection="1">
      <alignment horizontal="justify" vertical="center" wrapText="1"/>
      <protection hidden="1"/>
    </xf>
    <xf numFmtId="0" fontId="73" fillId="4" borderId="131" xfId="5" applyFont="1" applyFill="1" applyBorder="1" applyAlignment="1" applyProtection="1">
      <alignment horizontal="center" vertical="center" wrapText="1"/>
      <protection hidden="1"/>
    </xf>
    <xf numFmtId="0" fontId="73" fillId="4" borderId="51" xfId="5" applyFont="1" applyFill="1" applyBorder="1" applyAlignment="1" applyProtection="1">
      <alignment horizontal="center" vertical="center" wrapText="1"/>
      <protection hidden="1"/>
    </xf>
    <xf numFmtId="0" fontId="73" fillId="4" borderId="134" xfId="5" applyFont="1" applyFill="1" applyBorder="1" applyAlignment="1" applyProtection="1">
      <alignment horizontal="center" vertical="center" wrapText="1"/>
      <protection hidden="1"/>
    </xf>
    <xf numFmtId="0" fontId="23" fillId="22" borderId="27" xfId="12" applyFont="1" applyBorder="1" applyAlignment="1" applyProtection="1">
      <alignment horizontal="center" vertical="center" wrapText="1"/>
      <protection hidden="1"/>
    </xf>
    <xf numFmtId="0" fontId="23" fillId="22" borderId="132" xfId="12" applyFont="1" applyBorder="1" applyAlignment="1" applyProtection="1">
      <alignment horizontal="center" vertical="center" wrapText="1"/>
      <protection hidden="1"/>
    </xf>
    <xf numFmtId="0" fontId="23" fillId="22" borderId="87" xfId="12" applyFont="1" applyBorder="1" applyAlignment="1" applyProtection="1">
      <alignment horizontal="center" vertical="center" wrapText="1"/>
      <protection hidden="1"/>
    </xf>
    <xf numFmtId="0" fontId="74" fillId="4" borderId="4" xfId="5" applyFont="1" applyFill="1" applyBorder="1" applyAlignment="1" applyProtection="1">
      <alignment horizontal="center" vertical="center" textRotation="90" wrapText="1"/>
      <protection hidden="1"/>
    </xf>
    <xf numFmtId="0" fontId="151" fillId="4" borderId="24" xfId="5" applyFont="1" applyFill="1" applyBorder="1" applyAlignment="1" applyProtection="1">
      <alignment horizontal="center" vertical="center" wrapText="1"/>
      <protection hidden="1"/>
    </xf>
    <xf numFmtId="0" fontId="151" fillId="4" borderId="47" xfId="5" applyFont="1" applyFill="1" applyBorder="1" applyAlignment="1" applyProtection="1">
      <alignment horizontal="center" vertical="center" wrapText="1"/>
      <protection hidden="1"/>
    </xf>
    <xf numFmtId="0" fontId="65" fillId="4" borderId="20" xfId="5" applyFont="1" applyFill="1" applyBorder="1" applyAlignment="1" applyProtection="1">
      <alignment horizontal="center" vertical="center" textRotation="90" wrapText="1"/>
      <protection hidden="1"/>
    </xf>
    <xf numFmtId="0" fontId="65" fillId="4" borderId="24" xfId="5" applyFont="1" applyFill="1" applyBorder="1" applyAlignment="1" applyProtection="1">
      <alignment horizontal="center" vertical="center" textRotation="90" wrapText="1"/>
      <protection hidden="1"/>
    </xf>
    <xf numFmtId="0" fontId="65" fillId="4" borderId="14" xfId="5" applyFont="1" applyFill="1" applyBorder="1" applyAlignment="1" applyProtection="1">
      <alignment horizontal="center" vertical="center" textRotation="90" wrapText="1"/>
      <protection hidden="1"/>
    </xf>
    <xf numFmtId="0" fontId="151" fillId="4" borderId="14" xfId="5" applyFont="1" applyFill="1" applyBorder="1" applyAlignment="1" applyProtection="1">
      <alignment horizontal="center" vertical="center" wrapText="1"/>
      <protection hidden="1"/>
    </xf>
    <xf numFmtId="10" fontId="110" fillId="15" borderId="28" xfId="5" applyNumberFormat="1" applyFont="1" applyFill="1" applyBorder="1" applyAlignment="1" applyProtection="1">
      <alignment horizontal="center" vertical="center"/>
      <protection locked="0"/>
    </xf>
    <xf numFmtId="10" fontId="110" fillId="15" borderId="133" xfId="5" applyNumberFormat="1" applyFont="1" applyFill="1" applyBorder="1" applyAlignment="1" applyProtection="1">
      <alignment horizontal="center" vertical="center"/>
      <protection locked="0"/>
    </xf>
    <xf numFmtId="10" fontId="110" fillId="15" borderId="15" xfId="5" applyNumberFormat="1" applyFont="1" applyFill="1" applyBorder="1" applyAlignment="1" applyProtection="1">
      <alignment horizontal="center" vertical="center"/>
      <protection locked="0"/>
    </xf>
    <xf numFmtId="0" fontId="28" fillId="4" borderId="9" xfId="5" applyFont="1" applyFill="1" applyBorder="1" applyAlignment="1" applyProtection="1">
      <alignment horizontal="center" vertical="center" wrapText="1"/>
      <protection hidden="1"/>
    </xf>
    <xf numFmtId="0" fontId="28" fillId="4" borderId="13" xfId="5" applyFont="1" applyFill="1" applyBorder="1" applyAlignment="1" applyProtection="1">
      <alignment horizontal="center" vertical="center" wrapText="1"/>
      <protection hidden="1"/>
    </xf>
    <xf numFmtId="0" fontId="28" fillId="4" borderId="21" xfId="5" applyFont="1" applyFill="1" applyBorder="1" applyAlignment="1" applyProtection="1">
      <alignment horizontal="center" vertical="center" wrapText="1"/>
      <protection hidden="1"/>
    </xf>
    <xf numFmtId="0" fontId="35" fillId="4" borderId="20" xfId="0" applyFont="1" applyFill="1" applyBorder="1" applyAlignment="1" applyProtection="1">
      <alignment horizontal="center" vertical="center" textRotation="90" wrapText="1"/>
      <protection hidden="1"/>
    </xf>
    <xf numFmtId="0" fontId="35" fillId="4" borderId="24" xfId="0" applyFont="1" applyFill="1" applyBorder="1" applyAlignment="1" applyProtection="1">
      <alignment horizontal="center" vertical="center" textRotation="90" wrapText="1"/>
      <protection hidden="1"/>
    </xf>
    <xf numFmtId="0" fontId="35" fillId="4" borderId="47" xfId="0" applyFont="1" applyFill="1" applyBorder="1" applyAlignment="1" applyProtection="1">
      <alignment horizontal="center" vertical="center" textRotation="90" wrapText="1"/>
      <protection hidden="1"/>
    </xf>
    <xf numFmtId="9" fontId="147" fillId="14" borderId="9" xfId="7" applyFont="1" applyFill="1" applyBorder="1" applyAlignment="1" applyProtection="1">
      <alignment horizontal="center" vertical="center" wrapText="1"/>
      <protection hidden="1"/>
    </xf>
    <xf numFmtId="9" fontId="147" fillId="14" borderId="21" xfId="7" applyFont="1" applyFill="1" applyBorder="1" applyAlignment="1" applyProtection="1">
      <alignment horizontal="center" vertical="center" wrapText="1"/>
      <protection hidden="1"/>
    </xf>
    <xf numFmtId="0" fontId="10" fillId="36" borderId="45" xfId="5" applyFont="1" applyFill="1" applyBorder="1" applyAlignment="1" applyProtection="1">
      <alignment horizontal="center" vertical="center" wrapText="1"/>
      <protection hidden="1"/>
    </xf>
    <xf numFmtId="0" fontId="10" fillId="36" borderId="0" xfId="5" applyFont="1" applyFill="1" applyAlignment="1" applyProtection="1">
      <alignment horizontal="center" vertical="center" wrapText="1"/>
      <protection hidden="1"/>
    </xf>
    <xf numFmtId="0" fontId="10" fillId="36" borderId="26" xfId="5" applyFont="1" applyFill="1" applyBorder="1" applyAlignment="1" applyProtection="1">
      <alignment horizontal="center" vertical="center" wrapText="1"/>
      <protection hidden="1"/>
    </xf>
    <xf numFmtId="0" fontId="10" fillId="41" borderId="4" xfId="23" applyFont="1" applyBorder="1" applyAlignment="1" applyProtection="1">
      <alignment horizontal="center" vertical="center" wrapText="1"/>
      <protection hidden="1"/>
    </xf>
    <xf numFmtId="0" fontId="28" fillId="59" borderId="4" xfId="5" applyFont="1" applyFill="1" applyBorder="1" applyAlignment="1" applyProtection="1">
      <alignment horizontal="center" vertical="center" wrapText="1"/>
      <protection hidden="1"/>
    </xf>
    <xf numFmtId="0" fontId="10" fillId="36" borderId="49" xfId="5" applyFont="1" applyFill="1" applyBorder="1" applyAlignment="1" applyProtection="1">
      <alignment horizontal="center" vertical="center" wrapText="1"/>
      <protection hidden="1"/>
    </xf>
    <xf numFmtId="0" fontId="10" fillId="36" borderId="16" xfId="5" applyFont="1" applyFill="1" applyBorder="1" applyAlignment="1" applyProtection="1">
      <alignment horizontal="center" vertical="center" wrapText="1"/>
      <protection hidden="1"/>
    </xf>
    <xf numFmtId="0" fontId="10" fillId="36" borderId="14" xfId="5" applyFont="1" applyFill="1" applyBorder="1" applyAlignment="1" applyProtection="1">
      <alignment horizontal="center" vertical="center" wrapText="1"/>
      <protection hidden="1"/>
    </xf>
    <xf numFmtId="0" fontId="10" fillId="36" borderId="4" xfId="5" applyFont="1" applyFill="1" applyBorder="1" applyAlignment="1" applyProtection="1">
      <alignment horizontal="center" vertical="center" wrapText="1"/>
      <protection hidden="1"/>
    </xf>
    <xf numFmtId="0" fontId="10" fillId="36" borderId="24" xfId="5" applyFont="1" applyFill="1" applyBorder="1" applyAlignment="1" applyProtection="1">
      <alignment horizontal="center" vertical="center" wrapText="1"/>
      <protection hidden="1"/>
    </xf>
    <xf numFmtId="0" fontId="11" fillId="62" borderId="9" xfId="5" applyFont="1" applyFill="1" applyBorder="1" applyAlignment="1" applyProtection="1">
      <alignment horizontal="center" vertical="center" wrapText="1"/>
      <protection hidden="1"/>
    </xf>
    <xf numFmtId="0" fontId="11" fillId="62" borderId="21" xfId="5" applyFont="1" applyFill="1" applyBorder="1" applyAlignment="1" applyProtection="1">
      <alignment horizontal="center" vertical="center" wrapText="1"/>
      <protection hidden="1"/>
    </xf>
    <xf numFmtId="170" fontId="11" fillId="61" borderId="125" xfId="7" applyNumberFormat="1" applyFont="1" applyFill="1" applyBorder="1" applyAlignment="1" applyProtection="1">
      <alignment horizontal="center" vertical="center"/>
      <protection hidden="1"/>
    </xf>
    <xf numFmtId="170" fontId="11" fillId="61" borderId="3" xfId="7" applyNumberFormat="1" applyFont="1" applyFill="1" applyBorder="1" applyAlignment="1" applyProtection="1">
      <alignment horizontal="center" vertical="center"/>
      <protection hidden="1"/>
    </xf>
    <xf numFmtId="0" fontId="14" fillId="0" borderId="9" xfId="0" applyFont="1" applyBorder="1" applyAlignment="1" applyProtection="1">
      <alignment horizontal="justify" vertical="center" wrapText="1"/>
      <protection hidden="1"/>
    </xf>
    <xf numFmtId="0" fontId="14" fillId="0" borderId="13" xfId="0" applyFont="1" applyBorder="1" applyAlignment="1" applyProtection="1">
      <alignment horizontal="justify" vertical="center"/>
      <protection hidden="1"/>
    </xf>
    <xf numFmtId="0" fontId="14" fillId="0" borderId="21" xfId="0" applyFont="1" applyBorder="1" applyAlignment="1" applyProtection="1">
      <alignment horizontal="justify" vertical="center"/>
      <protection hidden="1"/>
    </xf>
    <xf numFmtId="0" fontId="14" fillId="0" borderId="0" xfId="0" applyFont="1" applyAlignment="1">
      <alignment horizontal="left" vertical="center" wrapText="1"/>
    </xf>
    <xf numFmtId="0" fontId="150" fillId="54" borderId="9" xfId="5" applyFont="1" applyFill="1" applyBorder="1" applyAlignment="1" applyProtection="1">
      <alignment horizontal="center" vertical="center"/>
      <protection hidden="1"/>
    </xf>
    <xf numFmtId="0" fontId="150" fillId="54" borderId="13" xfId="5" applyFont="1" applyFill="1" applyBorder="1" applyAlignment="1" applyProtection="1">
      <alignment horizontal="center" vertical="center"/>
      <protection hidden="1"/>
    </xf>
    <xf numFmtId="0" fontId="150" fillId="54" borderId="21" xfId="5" applyFont="1" applyFill="1" applyBorder="1" applyAlignment="1" applyProtection="1">
      <alignment horizontal="center" vertical="center"/>
      <protection hidden="1"/>
    </xf>
    <xf numFmtId="0" fontId="35" fillId="36" borderId="38" xfId="33" applyFont="1" applyFill="1" applyBorder="1" applyAlignment="1" applyProtection="1">
      <alignment horizontal="center" vertical="center" wrapText="1"/>
      <protection hidden="1"/>
    </xf>
    <xf numFmtId="0" fontId="35" fillId="36" borderId="39" xfId="33" applyFont="1" applyFill="1" applyBorder="1" applyAlignment="1" applyProtection="1">
      <alignment horizontal="center" vertical="center" wrapText="1"/>
      <protection hidden="1"/>
    </xf>
    <xf numFmtId="0" fontId="35" fillId="36" borderId="40" xfId="33" applyFont="1" applyFill="1" applyBorder="1" applyAlignment="1" applyProtection="1">
      <alignment horizontal="center" vertical="center" wrapText="1"/>
      <protection hidden="1"/>
    </xf>
    <xf numFmtId="0" fontId="35" fillId="36" borderId="6" xfId="33" applyFont="1" applyFill="1" applyBorder="1" applyAlignment="1" applyProtection="1">
      <alignment horizontal="center" vertical="center" wrapText="1"/>
      <protection hidden="1"/>
    </xf>
    <xf numFmtId="0" fontId="35" fillId="36" borderId="7" xfId="33" applyFont="1" applyFill="1" applyBorder="1" applyAlignment="1" applyProtection="1">
      <alignment horizontal="center" vertical="center" wrapText="1"/>
      <protection hidden="1"/>
    </xf>
    <xf numFmtId="0" fontId="35" fillId="36" borderId="127" xfId="33" applyFont="1" applyFill="1" applyBorder="1" applyAlignment="1" applyProtection="1">
      <alignment horizontal="center" vertical="center" wrapText="1"/>
      <protection hidden="1"/>
    </xf>
    <xf numFmtId="0" fontId="110" fillId="15" borderId="124" xfId="5" applyFont="1" applyFill="1" applyBorder="1" applyAlignment="1" applyProtection="1">
      <alignment horizontal="center" vertical="center"/>
      <protection hidden="1"/>
    </xf>
    <xf numFmtId="0" fontId="110" fillId="15" borderId="128" xfId="5" applyFont="1" applyFill="1" applyBorder="1" applyAlignment="1" applyProtection="1">
      <alignment horizontal="center" vertical="center"/>
      <protection hidden="1"/>
    </xf>
    <xf numFmtId="0" fontId="110" fillId="15" borderId="130" xfId="5" applyFont="1" applyFill="1" applyBorder="1" applyAlignment="1" applyProtection="1">
      <alignment horizontal="center" vertical="center"/>
      <protection hidden="1"/>
    </xf>
    <xf numFmtId="0" fontId="35" fillId="36" borderId="48" xfId="33" applyFont="1" applyFill="1" applyBorder="1" applyAlignment="1" applyProtection="1">
      <alignment horizontal="center" vertical="center" wrapText="1"/>
      <protection hidden="1"/>
    </xf>
    <xf numFmtId="0" fontId="35" fillId="36" borderId="11" xfId="33" applyFont="1" applyFill="1" applyBorder="1" applyAlignment="1" applyProtection="1">
      <alignment horizontal="center" vertical="center" wrapText="1"/>
      <protection hidden="1"/>
    </xf>
    <xf numFmtId="0" fontId="35" fillId="36" borderId="22" xfId="33" applyFont="1" applyFill="1" applyBorder="1" applyAlignment="1" applyProtection="1">
      <alignment horizontal="center" vertical="center" wrapText="1"/>
      <protection hidden="1"/>
    </xf>
    <xf numFmtId="0" fontId="35" fillId="36" borderId="8" xfId="33" applyFont="1" applyFill="1" applyBorder="1" applyAlignment="1" applyProtection="1">
      <alignment horizontal="center" vertical="center" wrapText="1"/>
      <protection hidden="1"/>
    </xf>
    <xf numFmtId="0" fontId="35" fillId="36" borderId="129" xfId="33" applyFont="1" applyFill="1" applyBorder="1" applyAlignment="1" applyProtection="1">
      <alignment horizontal="center" vertical="center" wrapText="1"/>
      <protection hidden="1"/>
    </xf>
    <xf numFmtId="0" fontId="14" fillId="0" borderId="13" xfId="0" applyFont="1" applyBorder="1" applyAlignment="1" applyProtection="1">
      <alignment horizontal="left" vertical="center"/>
      <protection hidden="1"/>
    </xf>
    <xf numFmtId="14" fontId="14" fillId="0" borderId="13" xfId="0" applyNumberFormat="1" applyFont="1" applyBorder="1" applyAlignment="1" applyProtection="1">
      <alignment horizontal="left" vertical="center"/>
      <protection hidden="1"/>
    </xf>
    <xf numFmtId="0" fontId="11" fillId="13" borderId="0" xfId="5" applyFont="1" applyFill="1" applyAlignment="1">
      <alignment horizontal="center" vertical="center" wrapText="1"/>
    </xf>
    <xf numFmtId="0" fontId="11" fillId="54" borderId="4" xfId="5" applyFont="1" applyFill="1" applyBorder="1" applyAlignment="1">
      <alignment horizontal="center" vertical="center" wrapText="1"/>
    </xf>
    <xf numFmtId="0" fontId="10" fillId="0" borderId="0" xfId="0" applyFont="1" applyAlignment="1" applyProtection="1">
      <alignment horizontal="center" vertical="center"/>
      <protection hidden="1"/>
    </xf>
    <xf numFmtId="0" fontId="14" fillId="0" borderId="4" xfId="0" applyFont="1" applyBorder="1" applyAlignment="1" applyProtection="1">
      <alignment horizontal="center" vertical="center"/>
      <protection hidden="1"/>
    </xf>
    <xf numFmtId="41" fontId="20" fillId="0" borderId="33" xfId="0" applyNumberFormat="1" applyFont="1" applyBorder="1" applyAlignment="1" applyProtection="1">
      <alignment horizontal="left" vertical="center"/>
      <protection hidden="1"/>
    </xf>
    <xf numFmtId="0" fontId="20" fillId="0" borderId="33" xfId="0" applyFont="1" applyBorder="1" applyAlignment="1" applyProtection="1">
      <alignment horizontal="left" vertical="center"/>
      <protection hidden="1"/>
    </xf>
    <xf numFmtId="0" fontId="19" fillId="0" borderId="165" xfId="0" applyFont="1" applyBorder="1" applyAlignment="1" applyProtection="1">
      <alignment horizontal="center" vertical="center" wrapText="1"/>
      <protection hidden="1"/>
    </xf>
    <xf numFmtId="0" fontId="19" fillId="0" borderId="169" xfId="0" applyFont="1" applyBorder="1" applyAlignment="1" applyProtection="1">
      <alignment horizontal="center" vertical="center" wrapText="1"/>
      <protection hidden="1"/>
    </xf>
    <xf numFmtId="0" fontId="19" fillId="0" borderId="168" xfId="0" applyFont="1" applyBorder="1" applyAlignment="1" applyProtection="1">
      <alignment horizontal="center" vertical="center" wrapText="1"/>
      <protection hidden="1"/>
    </xf>
    <xf numFmtId="0" fontId="19" fillId="0" borderId="31" xfId="0" applyFont="1" applyBorder="1" applyAlignment="1" applyProtection="1">
      <alignment horizontal="center" vertical="center" wrapText="1"/>
      <protection hidden="1"/>
    </xf>
    <xf numFmtId="0" fontId="19" fillId="0" borderId="33" xfId="0" applyFont="1" applyBorder="1" applyAlignment="1" applyProtection="1">
      <alignment horizontal="center" vertical="center" wrapText="1"/>
      <protection hidden="1"/>
    </xf>
    <xf numFmtId="0" fontId="19" fillId="0" borderId="35" xfId="0" applyFont="1" applyBorder="1" applyAlignment="1" applyProtection="1">
      <alignment horizontal="center" vertical="center" wrapText="1"/>
      <protection hidden="1"/>
    </xf>
    <xf numFmtId="0" fontId="47" fillId="13" borderId="9" xfId="0" applyFont="1" applyFill="1" applyBorder="1" applyAlignment="1" applyProtection="1">
      <alignment horizontal="left" vertical="center" wrapText="1"/>
      <protection hidden="1"/>
    </xf>
    <xf numFmtId="0" fontId="47" fillId="13" borderId="21" xfId="0" applyFont="1" applyFill="1" applyBorder="1" applyAlignment="1" applyProtection="1">
      <alignment horizontal="left" vertical="center" wrapText="1"/>
      <protection hidden="1"/>
    </xf>
    <xf numFmtId="0" fontId="36" fillId="0" borderId="4" xfId="0" applyFont="1" applyBorder="1" applyAlignment="1">
      <alignment horizontal="left" vertical="center" wrapText="1"/>
    </xf>
    <xf numFmtId="41" fontId="14" fillId="0" borderId="13" xfId="0" applyNumberFormat="1" applyFont="1" applyBorder="1" applyAlignment="1" applyProtection="1">
      <alignment horizontal="left" vertical="center"/>
      <protection hidden="1"/>
    </xf>
    <xf numFmtId="0" fontId="22" fillId="0" borderId="0" xfId="0" applyFont="1" applyAlignment="1" applyProtection="1">
      <alignment horizontal="center" vertical="center"/>
      <protection hidden="1"/>
    </xf>
    <xf numFmtId="0" fontId="51" fillId="64" borderId="12" xfId="0" applyFont="1" applyFill="1" applyBorder="1" applyAlignment="1" applyProtection="1">
      <alignment horizontal="center" vertical="center" wrapText="1"/>
      <protection hidden="1"/>
    </xf>
    <xf numFmtId="0" fontId="51" fillId="64" borderId="23" xfId="0" applyFont="1" applyFill="1" applyBorder="1" applyAlignment="1" applyProtection="1">
      <alignment horizontal="center" vertical="center" wrapText="1"/>
      <protection hidden="1"/>
    </xf>
    <xf numFmtId="0" fontId="14" fillId="0" borderId="4" xfId="0" applyFont="1" applyBorder="1" applyAlignment="1">
      <alignment horizontal="center" vertical="center"/>
    </xf>
    <xf numFmtId="0" fontId="51" fillId="64" borderId="99" xfId="0" applyFont="1" applyFill="1" applyBorder="1" applyAlignment="1" applyProtection="1">
      <alignment horizontal="center" vertical="center" wrapText="1"/>
      <protection hidden="1"/>
    </xf>
    <xf numFmtId="0" fontId="51" fillId="64" borderId="101" xfId="0" applyFont="1" applyFill="1" applyBorder="1" applyAlignment="1" applyProtection="1">
      <alignment horizontal="center" vertical="center" wrapText="1"/>
      <protection hidden="1"/>
    </xf>
    <xf numFmtId="0" fontId="51" fillId="64" borderId="103" xfId="0" applyFont="1" applyFill="1" applyBorder="1" applyAlignment="1" applyProtection="1">
      <alignment horizontal="center" vertical="center" wrapText="1"/>
      <protection hidden="1"/>
    </xf>
    <xf numFmtId="0" fontId="51" fillId="64" borderId="3" xfId="0" applyFont="1" applyFill="1" applyBorder="1" applyAlignment="1" applyProtection="1">
      <alignment horizontal="center" vertical="center" wrapText="1"/>
      <protection hidden="1"/>
    </xf>
    <xf numFmtId="0" fontId="51" fillId="64" borderId="100" xfId="0" applyFont="1" applyFill="1" applyBorder="1" applyAlignment="1" applyProtection="1">
      <alignment horizontal="center" vertical="center"/>
      <protection hidden="1"/>
    </xf>
    <xf numFmtId="0" fontId="51" fillId="64" borderId="2" xfId="0" applyFont="1" applyFill="1" applyBorder="1" applyAlignment="1" applyProtection="1">
      <alignment horizontal="center" vertical="center"/>
      <protection hidden="1"/>
    </xf>
    <xf numFmtId="0" fontId="51" fillId="64" borderId="99" xfId="0" applyFont="1" applyFill="1" applyBorder="1" applyAlignment="1" applyProtection="1">
      <alignment horizontal="center" vertical="center"/>
      <protection hidden="1"/>
    </xf>
    <xf numFmtId="0" fontId="51" fillId="64" borderId="103" xfId="0" applyFont="1" applyFill="1" applyBorder="1" applyAlignment="1" applyProtection="1">
      <alignment horizontal="center" vertical="center"/>
      <protection hidden="1"/>
    </xf>
    <xf numFmtId="0" fontId="51" fillId="64" borderId="10" xfId="0" applyFont="1" applyFill="1" applyBorder="1" applyAlignment="1" applyProtection="1">
      <alignment horizontal="center" vertical="center" wrapText="1"/>
      <protection hidden="1"/>
    </xf>
    <xf numFmtId="0" fontId="51" fillId="64" borderId="25" xfId="0" applyFont="1" applyFill="1" applyBorder="1" applyAlignment="1" applyProtection="1">
      <alignment horizontal="center" vertical="center" wrapText="1"/>
      <protection hidden="1"/>
    </xf>
    <xf numFmtId="0" fontId="51" fillId="64" borderId="11" xfId="0" applyFont="1" applyFill="1" applyBorder="1" applyAlignment="1" applyProtection="1">
      <alignment horizontal="center" vertical="center" wrapText="1"/>
      <protection hidden="1"/>
    </xf>
    <xf numFmtId="0" fontId="51" fillId="64" borderId="22" xfId="0" applyFont="1" applyFill="1" applyBorder="1" applyAlignment="1" applyProtection="1">
      <alignment horizontal="center" vertical="center" wrapText="1"/>
      <protection hidden="1"/>
    </xf>
    <xf numFmtId="0" fontId="51" fillId="64" borderId="127" xfId="0" applyFont="1" applyFill="1" applyBorder="1" applyAlignment="1" applyProtection="1">
      <alignment horizontal="center" vertical="center" wrapText="1"/>
      <protection hidden="1"/>
    </xf>
    <xf numFmtId="0" fontId="51" fillId="64" borderId="100" xfId="0" applyFont="1" applyFill="1" applyBorder="1" applyAlignment="1" applyProtection="1">
      <alignment horizontal="center" vertical="center" wrapText="1"/>
      <protection hidden="1"/>
    </xf>
    <xf numFmtId="0" fontId="51" fillId="64" borderId="6" xfId="0" applyFont="1" applyFill="1" applyBorder="1" applyAlignment="1" applyProtection="1">
      <alignment horizontal="center" vertical="center" wrapText="1"/>
      <protection hidden="1"/>
    </xf>
    <xf numFmtId="0" fontId="51" fillId="64" borderId="125" xfId="0" applyFont="1" applyFill="1" applyBorder="1" applyAlignment="1" applyProtection="1">
      <alignment horizontal="center" vertical="center" wrapText="1"/>
      <protection hidden="1"/>
    </xf>
    <xf numFmtId="0" fontId="51" fillId="64" borderId="2" xfId="0" applyFont="1" applyFill="1" applyBorder="1" applyAlignment="1" applyProtection="1">
      <alignment horizontal="center" vertical="center" wrapText="1"/>
      <protection hidden="1"/>
    </xf>
    <xf numFmtId="0" fontId="51" fillId="64" borderId="142" xfId="0" applyFont="1" applyFill="1" applyBorder="1" applyAlignment="1" applyProtection="1">
      <alignment horizontal="center" vertical="center" wrapText="1"/>
      <protection hidden="1"/>
    </xf>
    <xf numFmtId="0" fontId="14" fillId="0" borderId="153" xfId="0" applyFont="1" applyBorder="1" applyAlignment="1" applyProtection="1">
      <alignment horizontal="center" vertical="center"/>
      <protection hidden="1"/>
    </xf>
    <xf numFmtId="0" fontId="14" fillId="0" borderId="132" xfId="0" applyFont="1" applyBorder="1" applyAlignment="1" applyProtection="1">
      <alignment horizontal="center" vertical="center"/>
      <protection hidden="1"/>
    </xf>
    <xf numFmtId="0" fontId="14" fillId="0" borderId="87" xfId="0" applyFont="1" applyBorder="1" applyAlignment="1" applyProtection="1">
      <alignment horizontal="center" vertical="center"/>
      <protection hidden="1"/>
    </xf>
    <xf numFmtId="10" fontId="25" fillId="0" borderId="4" xfId="2" applyNumberFormat="1" applyFont="1" applyBorder="1" applyAlignment="1" applyProtection="1">
      <alignment horizontal="center" vertical="center"/>
      <protection hidden="1"/>
    </xf>
    <xf numFmtId="10" fontId="14" fillId="0" borderId="4" xfId="2" applyNumberFormat="1" applyFont="1" applyBorder="1" applyAlignment="1" applyProtection="1">
      <alignment horizontal="center" vertical="center"/>
      <protection hidden="1"/>
    </xf>
    <xf numFmtId="10" fontId="25" fillId="0" borderId="32" xfId="2" applyNumberFormat="1" applyFont="1" applyBorder="1" applyAlignment="1" applyProtection="1">
      <alignment horizontal="center" vertical="center"/>
      <protection hidden="1"/>
    </xf>
    <xf numFmtId="10" fontId="25" fillId="0" borderId="140" xfId="2" applyNumberFormat="1" applyFont="1" applyBorder="1" applyAlignment="1" applyProtection="1">
      <alignment horizontal="center" vertical="center"/>
      <protection hidden="1"/>
    </xf>
    <xf numFmtId="10" fontId="25" fillId="0" borderId="18" xfId="2" applyNumberFormat="1" applyFont="1" applyBorder="1" applyAlignment="1" applyProtection="1">
      <alignment horizontal="center" vertical="center"/>
      <protection hidden="1"/>
    </xf>
    <xf numFmtId="0" fontId="51" fillId="64" borderId="29" xfId="0" applyFont="1" applyFill="1" applyBorder="1" applyAlignment="1" applyProtection="1">
      <alignment horizontal="center" vertical="center" wrapText="1"/>
      <protection hidden="1"/>
    </xf>
    <xf numFmtId="0" fontId="51" fillId="64" borderId="28" xfId="0" applyFont="1" applyFill="1" applyBorder="1" applyAlignment="1" applyProtection="1">
      <alignment horizontal="center" vertical="center" wrapText="1"/>
      <protection hidden="1"/>
    </xf>
    <xf numFmtId="0" fontId="51" fillId="64" borderId="158" xfId="0" applyFont="1" applyFill="1" applyBorder="1" applyAlignment="1" applyProtection="1">
      <alignment horizontal="center" vertical="center" wrapText="1"/>
      <protection hidden="1"/>
    </xf>
    <xf numFmtId="0" fontId="51" fillId="64" borderId="102" xfId="0" applyFont="1" applyFill="1" applyBorder="1" applyAlignment="1" applyProtection="1">
      <alignment horizontal="center" vertical="center" wrapText="1"/>
      <protection hidden="1"/>
    </xf>
    <xf numFmtId="0" fontId="51" fillId="64" borderId="26" xfId="0" applyFont="1" applyFill="1" applyBorder="1" applyAlignment="1" applyProtection="1">
      <alignment horizontal="center" vertical="center" wrapText="1"/>
      <protection hidden="1"/>
    </xf>
    <xf numFmtId="0" fontId="51" fillId="64" borderId="0" xfId="0" applyFont="1" applyFill="1" applyAlignment="1" applyProtection="1">
      <alignment horizontal="center" vertical="center"/>
      <protection hidden="1"/>
    </xf>
    <xf numFmtId="0" fontId="47" fillId="0" borderId="4" xfId="0" applyFont="1" applyBorder="1" applyAlignment="1" applyProtection="1">
      <alignment horizontal="justify" vertical="center" wrapText="1"/>
      <protection hidden="1"/>
    </xf>
    <xf numFmtId="0" fontId="47" fillId="0" borderId="144" xfId="0" applyFont="1" applyBorder="1" applyAlignment="1" applyProtection="1">
      <alignment horizontal="justify" vertical="center" wrapText="1"/>
      <protection hidden="1"/>
    </xf>
    <xf numFmtId="0" fontId="47" fillId="0" borderId="95" xfId="0" applyFont="1" applyBorder="1" applyAlignment="1" applyProtection="1">
      <alignment horizontal="justify" vertical="center" wrapText="1"/>
      <protection hidden="1"/>
    </xf>
    <xf numFmtId="0" fontId="47" fillId="0" borderId="145" xfId="0" applyFont="1" applyBorder="1" applyAlignment="1" applyProtection="1">
      <alignment horizontal="justify" vertical="center" wrapText="1"/>
      <protection hidden="1"/>
    </xf>
    <xf numFmtId="0" fontId="47" fillId="0" borderId="31" xfId="0" applyFont="1" applyBorder="1" applyAlignment="1" applyProtection="1">
      <alignment horizontal="justify" vertical="center" wrapText="1"/>
      <protection hidden="1"/>
    </xf>
    <xf numFmtId="0" fontId="47" fillId="0" borderId="33" xfId="0" applyFont="1" applyBorder="1" applyAlignment="1" applyProtection="1">
      <alignment horizontal="justify" vertical="center" wrapText="1"/>
      <protection hidden="1"/>
    </xf>
    <xf numFmtId="0" fontId="47" fillId="0" borderId="35" xfId="0" applyFont="1" applyBorder="1" applyAlignment="1" applyProtection="1">
      <alignment horizontal="justify" vertical="center" wrapText="1"/>
      <protection hidden="1"/>
    </xf>
    <xf numFmtId="0" fontId="14" fillId="0" borderId="99" xfId="0" applyFont="1" applyBorder="1" applyAlignment="1" applyProtection="1">
      <alignment horizontal="center" vertical="center"/>
      <protection locked="0"/>
    </xf>
    <xf numFmtId="0" fontId="14" fillId="0" borderId="102" xfId="0" applyFont="1" applyBorder="1" applyAlignment="1" applyProtection="1">
      <alignment horizontal="center" vertical="center"/>
      <protection locked="0"/>
    </xf>
    <xf numFmtId="0" fontId="35" fillId="0" borderId="131" xfId="0" applyFont="1" applyBorder="1" applyAlignment="1" applyProtection="1">
      <alignment horizontal="center" vertical="center"/>
      <protection locked="0"/>
    </xf>
    <xf numFmtId="0" fontId="35" fillId="0" borderId="134" xfId="0" applyFont="1" applyBorder="1" applyAlignment="1" applyProtection="1">
      <alignment horizontal="center" vertical="center"/>
      <protection locked="0"/>
    </xf>
    <xf numFmtId="0" fontId="35" fillId="0" borderId="11" xfId="0" applyFont="1" applyBorder="1" applyAlignment="1" applyProtection="1">
      <alignment horizontal="left" vertical="center" wrapText="1"/>
      <protection locked="0"/>
    </xf>
    <xf numFmtId="0" fontId="35" fillId="0" borderId="12" xfId="0"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3" xfId="0" applyFont="1" applyBorder="1" applyAlignment="1" applyProtection="1">
      <alignment horizontal="left" vertical="center" wrapText="1"/>
      <protection locked="0"/>
    </xf>
    <xf numFmtId="0" fontId="47" fillId="0" borderId="4" xfId="0" applyFont="1" applyBorder="1" applyAlignment="1">
      <alignment horizontal="left" vertical="center" wrapText="1"/>
    </xf>
    <xf numFmtId="0" fontId="14" fillId="0" borderId="167" xfId="0" applyFont="1" applyBorder="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110" fillId="0" borderId="165" xfId="0" applyFont="1" applyBorder="1" applyAlignment="1" applyProtection="1">
      <alignment horizontal="center" vertical="center" wrapText="1"/>
      <protection hidden="1"/>
    </xf>
    <xf numFmtId="0" fontId="110" fillId="0" borderId="169" xfId="0" applyFont="1" applyBorder="1" applyAlignment="1" applyProtection="1">
      <alignment horizontal="center" vertical="center" wrapText="1"/>
      <protection hidden="1"/>
    </xf>
    <xf numFmtId="0" fontId="110" fillId="0" borderId="168" xfId="0" applyFont="1" applyBorder="1" applyAlignment="1" applyProtection="1">
      <alignment horizontal="center" vertical="center" wrapText="1"/>
      <protection hidden="1"/>
    </xf>
    <xf numFmtId="0" fontId="110" fillId="0" borderId="31" xfId="0" applyFont="1" applyBorder="1" applyAlignment="1" applyProtection="1">
      <alignment horizontal="center" vertical="center" wrapText="1"/>
      <protection hidden="1"/>
    </xf>
    <xf numFmtId="0" fontId="110" fillId="0" borderId="33" xfId="0" applyFont="1" applyBorder="1" applyAlignment="1" applyProtection="1">
      <alignment horizontal="center" vertical="center" wrapText="1"/>
      <protection hidden="1"/>
    </xf>
    <xf numFmtId="0" fontId="110" fillId="0" borderId="35" xfId="0" applyFont="1" applyBorder="1" applyAlignment="1" applyProtection="1">
      <alignment horizontal="center" vertical="center" wrapText="1"/>
      <protection hidden="1"/>
    </xf>
    <xf numFmtId="179" fontId="0" fillId="9" borderId="4" xfId="0" applyNumberFormat="1" applyFill="1" applyBorder="1" applyAlignment="1" applyProtection="1">
      <alignment horizontal="center" vertical="center"/>
      <protection locked="0"/>
    </xf>
    <xf numFmtId="179" fontId="0" fillId="9" borderId="9" xfId="0" applyNumberFormat="1" applyFill="1" applyBorder="1" applyAlignment="1" applyProtection="1">
      <alignment horizontal="center" vertical="center"/>
      <protection locked="0"/>
    </xf>
    <xf numFmtId="177" fontId="0" fillId="0" borderId="9" xfId="17" applyNumberFormat="1" applyFont="1" applyBorder="1" applyAlignment="1" applyProtection="1">
      <alignment horizontal="justify" vertical="center"/>
      <protection locked="0"/>
    </xf>
    <xf numFmtId="177" fontId="0" fillId="0" borderId="21" xfId="17" applyNumberFormat="1" applyFont="1" applyBorder="1" applyAlignment="1" applyProtection="1">
      <alignment horizontal="justify" vertical="center"/>
      <protection locked="0"/>
    </xf>
    <xf numFmtId="0" fontId="175" fillId="0" borderId="9" xfId="0" applyFont="1" applyBorder="1" applyAlignment="1" applyProtection="1">
      <alignment horizontal="center" vertical="center"/>
      <protection locked="0"/>
    </xf>
    <xf numFmtId="0" fontId="175" fillId="0" borderId="21" xfId="0" applyFont="1" applyBorder="1" applyAlignment="1" applyProtection="1">
      <alignment horizontal="center" vertical="center"/>
      <protection locked="0"/>
    </xf>
    <xf numFmtId="179" fontId="59" fillId="0" borderId="4" xfId="0" applyNumberFormat="1" applyFont="1" applyBorder="1" applyAlignment="1" applyProtection="1">
      <alignment horizontal="center" vertical="center"/>
      <protection locked="0"/>
    </xf>
    <xf numFmtId="179" fontId="59" fillId="0" borderId="9" xfId="0" applyNumberFormat="1" applyFont="1" applyBorder="1" applyAlignment="1" applyProtection="1">
      <alignment horizontal="center" vertical="center"/>
      <protection locked="0"/>
    </xf>
    <xf numFmtId="9" fontId="0" fillId="0" borderId="4" xfId="2" applyFont="1" applyFill="1" applyBorder="1" applyAlignment="1" applyProtection="1">
      <alignment horizontal="center"/>
      <protection locked="0"/>
    </xf>
    <xf numFmtId="0" fontId="0" fillId="0" borderId="4" xfId="0" applyBorder="1" applyAlignment="1" applyProtection="1">
      <alignment horizontal="center"/>
      <protection locked="0"/>
    </xf>
    <xf numFmtId="0" fontId="59" fillId="25" borderId="4" xfId="0" applyFont="1" applyFill="1" applyBorder="1" applyAlignment="1" applyProtection="1">
      <alignment horizontal="center"/>
      <protection hidden="1"/>
    </xf>
    <xf numFmtId="0" fontId="0" fillId="0" borderId="4" xfId="0" applyBorder="1" applyAlignment="1" applyProtection="1">
      <alignment horizontal="justify" vertical="center" wrapText="1"/>
      <protection hidden="1"/>
    </xf>
    <xf numFmtId="0" fontId="59" fillId="25" borderId="9" xfId="0" applyFont="1" applyFill="1" applyBorder="1" applyAlignment="1" applyProtection="1">
      <alignment horizontal="center" vertical="center"/>
      <protection hidden="1"/>
    </xf>
    <xf numFmtId="0" fontId="59" fillId="25" borderId="21" xfId="0" applyFont="1" applyFill="1" applyBorder="1" applyAlignment="1" applyProtection="1">
      <alignment horizontal="center" vertical="center"/>
      <protection hidden="1"/>
    </xf>
    <xf numFmtId="0" fontId="94" fillId="25" borderId="9" xfId="0" applyFont="1" applyFill="1" applyBorder="1" applyAlignment="1" applyProtection="1">
      <alignment horizontal="center" vertical="center"/>
      <protection hidden="1"/>
    </xf>
    <xf numFmtId="0" fontId="94" fillId="25" borderId="21" xfId="0" applyFont="1" applyFill="1" applyBorder="1" applyAlignment="1" applyProtection="1">
      <alignment horizontal="center" vertical="center"/>
      <protection hidden="1"/>
    </xf>
    <xf numFmtId="9" fontId="0" fillId="0" borderId="9" xfId="2" applyFont="1" applyFill="1" applyBorder="1" applyAlignment="1" applyProtection="1">
      <alignment horizontal="center"/>
      <protection locked="0"/>
    </xf>
    <xf numFmtId="9" fontId="0" fillId="0" borderId="21" xfId="2" applyFont="1" applyFill="1" applyBorder="1" applyAlignment="1" applyProtection="1">
      <alignment horizontal="center"/>
      <protection locked="0"/>
    </xf>
    <xf numFmtId="0" fontId="0" fillId="0" borderId="9" xfId="0" applyBorder="1" applyAlignment="1" applyProtection="1">
      <alignment horizontal="center"/>
      <protection locked="0"/>
    </xf>
    <xf numFmtId="0" fontId="0" fillId="0" borderId="21" xfId="0" applyBorder="1" applyAlignment="1" applyProtection="1">
      <alignment horizontal="center"/>
      <protection locked="0"/>
    </xf>
    <xf numFmtId="0" fontId="0" fillId="0" borderId="9" xfId="0" applyBorder="1" applyAlignment="1">
      <alignment horizontal="center"/>
    </xf>
    <xf numFmtId="0" fontId="0" fillId="0" borderId="21" xfId="0" applyBorder="1" applyAlignment="1">
      <alignment horizontal="center"/>
    </xf>
    <xf numFmtId="0" fontId="59" fillId="25" borderId="94" xfId="0" applyFont="1" applyFill="1" applyBorder="1" applyAlignment="1">
      <alignment horizontal="center" vertical="center"/>
    </xf>
    <xf numFmtId="0" fontId="59" fillId="25" borderId="95" xfId="0" applyFont="1" applyFill="1" applyBorder="1" applyAlignment="1">
      <alignment horizontal="center" vertical="center"/>
    </xf>
    <xf numFmtId="0" fontId="59" fillId="25" borderId="96" xfId="0" applyFont="1" applyFill="1" applyBorder="1" applyAlignment="1">
      <alignment horizontal="center" vertical="center"/>
    </xf>
    <xf numFmtId="0" fontId="59" fillId="25" borderId="9" xfId="0" applyFont="1" applyFill="1" applyBorder="1" applyAlignment="1">
      <alignment horizontal="center" vertical="center"/>
    </xf>
    <xf numFmtId="0" fontId="59" fillId="25" borderId="21" xfId="0" applyFont="1" applyFill="1" applyBorder="1" applyAlignment="1">
      <alignment horizontal="center" vertical="center"/>
    </xf>
    <xf numFmtId="0" fontId="0" fillId="0" borderId="9" xfId="0" applyBorder="1" applyAlignment="1" applyProtection="1">
      <alignment horizontal="justify" vertical="center" wrapText="1"/>
      <protection hidden="1"/>
    </xf>
    <xf numFmtId="0" fontId="0" fillId="0" borderId="13" xfId="0" applyBorder="1" applyAlignment="1" applyProtection="1">
      <alignment horizontal="justify" vertical="center" wrapText="1"/>
      <protection hidden="1"/>
    </xf>
    <xf numFmtId="0" fontId="0" fillId="0" borderId="21" xfId="0" applyBorder="1" applyAlignment="1" applyProtection="1">
      <alignment horizontal="justify" vertical="center" wrapText="1"/>
      <protection hidden="1"/>
    </xf>
    <xf numFmtId="0" fontId="59" fillId="25" borderId="13" xfId="0" applyFont="1" applyFill="1" applyBorder="1" applyAlignment="1" applyProtection="1">
      <alignment horizontal="center" vertical="center"/>
      <protection hidden="1"/>
    </xf>
    <xf numFmtId="0" fontId="59" fillId="25" borderId="4" xfId="0" applyFont="1" applyFill="1" applyBorder="1" applyAlignment="1" applyProtection="1">
      <alignment horizontal="center" vertical="top" wrapText="1"/>
      <protection hidden="1"/>
    </xf>
    <xf numFmtId="0" fontId="96" fillId="0" borderId="94" xfId="0" applyFont="1" applyBorder="1" applyAlignment="1" applyProtection="1">
      <alignment horizontal="left" vertical="top" wrapText="1"/>
      <protection hidden="1"/>
    </xf>
    <xf numFmtId="0" fontId="96" fillId="0" borderId="95" xfId="0" applyFont="1" applyBorder="1" applyAlignment="1" applyProtection="1">
      <alignment horizontal="left" vertical="top" wrapText="1"/>
      <protection hidden="1"/>
    </xf>
    <xf numFmtId="0" fontId="96" fillId="0" borderId="96" xfId="0" applyFont="1" applyBorder="1" applyAlignment="1" applyProtection="1">
      <alignment horizontal="left" vertical="top" wrapText="1"/>
      <protection hidden="1"/>
    </xf>
    <xf numFmtId="0" fontId="96" fillId="0" borderId="45" xfId="0" applyFont="1" applyBorder="1" applyAlignment="1" applyProtection="1">
      <alignment horizontal="left" vertical="top" wrapText="1"/>
      <protection hidden="1"/>
    </xf>
    <xf numFmtId="0" fontId="96" fillId="0" borderId="0" xfId="0" applyFont="1" applyAlignment="1" applyProtection="1">
      <alignment horizontal="left" vertical="top" wrapText="1"/>
      <protection hidden="1"/>
    </xf>
    <xf numFmtId="0" fontId="96" fillId="0" borderId="46" xfId="0" applyFont="1" applyBorder="1" applyAlignment="1" applyProtection="1">
      <alignment horizontal="left" vertical="top" wrapText="1"/>
      <protection hidden="1"/>
    </xf>
    <xf numFmtId="0" fontId="96" fillId="0" borderId="31" xfId="0" applyFont="1" applyBorder="1" applyAlignment="1" applyProtection="1">
      <alignment horizontal="left" vertical="top" wrapText="1"/>
      <protection hidden="1"/>
    </xf>
    <xf numFmtId="0" fontId="96" fillId="0" borderId="33" xfId="0" applyFont="1" applyBorder="1" applyAlignment="1" applyProtection="1">
      <alignment horizontal="left" vertical="top" wrapText="1"/>
      <protection hidden="1"/>
    </xf>
    <xf numFmtId="0" fontId="96" fillId="0" borderId="35" xfId="0" applyFont="1" applyBorder="1" applyAlignment="1" applyProtection="1">
      <alignment horizontal="left" vertical="top" wrapText="1"/>
      <protection hidden="1"/>
    </xf>
    <xf numFmtId="0" fontId="59" fillId="25" borderId="31" xfId="0" applyFont="1" applyFill="1" applyBorder="1" applyAlignment="1" applyProtection="1">
      <alignment horizontal="center"/>
      <protection hidden="1"/>
    </xf>
    <xf numFmtId="0" fontId="59" fillId="25" borderId="33" xfId="0" applyFont="1" applyFill="1" applyBorder="1" applyAlignment="1" applyProtection="1">
      <alignment horizontal="center"/>
      <protection hidden="1"/>
    </xf>
    <xf numFmtId="0" fontId="59" fillId="25" borderId="35" xfId="0" applyFont="1" applyFill="1" applyBorder="1" applyAlignment="1" applyProtection="1">
      <alignment horizontal="center"/>
      <protection hidden="1"/>
    </xf>
    <xf numFmtId="175" fontId="0" fillId="9" borderId="4" xfId="26" applyNumberFormat="1" applyFont="1" applyFill="1" applyBorder="1" applyAlignment="1" applyProtection="1">
      <alignment horizontal="left" vertical="center" wrapText="1"/>
      <protection hidden="1"/>
    </xf>
    <xf numFmtId="0" fontId="58" fillId="0" borderId="0" xfId="0" applyFont="1" applyAlignment="1" applyProtection="1">
      <alignment horizontal="center" vertical="center" wrapText="1"/>
      <protection hidden="1"/>
    </xf>
    <xf numFmtId="0" fontId="59" fillId="6" borderId="9" xfId="0" applyFont="1" applyFill="1" applyBorder="1" applyAlignment="1" applyProtection="1">
      <alignment horizontal="center" vertical="center"/>
      <protection hidden="1"/>
    </xf>
    <xf numFmtId="0" fontId="59" fillId="6" borderId="21" xfId="0" applyFont="1" applyFill="1" applyBorder="1" applyAlignment="1" applyProtection="1">
      <alignment horizontal="center" vertical="center"/>
      <protection hidden="1"/>
    </xf>
    <xf numFmtId="0" fontId="94" fillId="0" borderId="45" xfId="0" applyFont="1" applyBorder="1" applyAlignment="1" applyProtection="1">
      <alignment horizontal="center" vertical="center"/>
      <protection hidden="1"/>
    </xf>
    <xf numFmtId="0" fontId="94" fillId="0" borderId="0" xfId="0" applyFont="1" applyAlignment="1" applyProtection="1">
      <alignment horizontal="center" vertical="center"/>
      <protection hidden="1"/>
    </xf>
    <xf numFmtId="9" fontId="94" fillId="0" borderId="0" xfId="0" applyNumberFormat="1" applyFont="1" applyAlignment="1" applyProtection="1">
      <alignment horizontal="center" vertical="center"/>
      <protection hidden="1"/>
    </xf>
    <xf numFmtId="43" fontId="0" fillId="6" borderId="94" xfId="18" applyFont="1" applyFill="1" applyBorder="1" applyAlignment="1" applyProtection="1">
      <alignment horizontal="center" vertical="center"/>
      <protection locked="0"/>
    </xf>
    <xf numFmtId="43" fontId="0" fillId="6" borderId="96" xfId="18" applyFont="1" applyFill="1" applyBorder="1" applyAlignment="1" applyProtection="1">
      <alignment horizontal="center" vertical="center"/>
      <protection locked="0"/>
    </xf>
    <xf numFmtId="43" fontId="0" fillId="6" borderId="31" xfId="18" applyFont="1" applyFill="1" applyBorder="1" applyAlignment="1" applyProtection="1">
      <alignment horizontal="center" vertical="center"/>
      <protection locked="0"/>
    </xf>
    <xf numFmtId="43" fontId="0" fillId="6" borderId="35" xfId="18" applyFont="1" applyFill="1" applyBorder="1" applyAlignment="1" applyProtection="1">
      <alignment horizontal="center" vertical="center"/>
      <protection locked="0"/>
    </xf>
    <xf numFmtId="10" fontId="0" fillId="6" borderId="93" xfId="0" applyNumberFormat="1" applyFill="1" applyBorder="1" applyAlignment="1" applyProtection="1">
      <alignment horizontal="center" vertical="center"/>
      <protection hidden="1"/>
    </xf>
    <xf numFmtId="10" fontId="0" fillId="6" borderId="14" xfId="0" applyNumberFormat="1" applyFill="1" applyBorder="1" applyAlignment="1" applyProtection="1">
      <alignment horizontal="center" vertical="center"/>
      <protection hidden="1"/>
    </xf>
    <xf numFmtId="43" fontId="0" fillId="6" borderId="93" xfId="18" applyFont="1" applyFill="1" applyBorder="1" applyAlignment="1" applyProtection="1">
      <alignment horizontal="center" vertical="center"/>
      <protection hidden="1"/>
    </xf>
    <xf numFmtId="43" fontId="0" fillId="6" borderId="14" xfId="18" applyFont="1" applyFill="1" applyBorder="1" applyAlignment="1" applyProtection="1">
      <alignment horizontal="center" vertical="center"/>
      <protection hidden="1"/>
    </xf>
    <xf numFmtId="0" fontId="59" fillId="46" borderId="4" xfId="0" applyFont="1" applyFill="1" applyBorder="1" applyAlignment="1" applyProtection="1">
      <alignment horizontal="center" vertical="center"/>
      <protection hidden="1"/>
    </xf>
    <xf numFmtId="0" fontId="78" fillId="46" borderId="4" xfId="0" applyFont="1" applyFill="1" applyBorder="1" applyAlignment="1" applyProtection="1">
      <alignment horizontal="center" vertical="center"/>
      <protection hidden="1"/>
    </xf>
    <xf numFmtId="43" fontId="0" fillId="12" borderId="156" xfId="18" applyFont="1" applyFill="1" applyBorder="1" applyAlignment="1" applyProtection="1">
      <alignment horizontal="center" vertical="center"/>
      <protection locked="0"/>
    </xf>
    <xf numFmtId="43" fontId="0" fillId="12" borderId="157" xfId="18" applyFont="1" applyFill="1" applyBorder="1" applyAlignment="1" applyProtection="1">
      <alignment horizontal="center" vertical="center"/>
      <protection locked="0"/>
    </xf>
    <xf numFmtId="43" fontId="0" fillId="12" borderId="31" xfId="18" applyFont="1" applyFill="1" applyBorder="1" applyAlignment="1" applyProtection="1">
      <alignment horizontal="center" vertical="center"/>
      <protection locked="0"/>
    </xf>
    <xf numFmtId="43" fontId="0" fillId="12" borderId="35" xfId="18" applyFont="1" applyFill="1" applyBorder="1" applyAlignment="1" applyProtection="1">
      <alignment horizontal="center" vertical="center"/>
      <protection locked="0"/>
    </xf>
    <xf numFmtId="10" fontId="0" fillId="12" borderId="96" xfId="0" applyNumberFormat="1" applyFill="1" applyBorder="1" applyAlignment="1" applyProtection="1">
      <alignment horizontal="center" vertical="center"/>
      <protection hidden="1"/>
    </xf>
    <xf numFmtId="10" fontId="0" fillId="12" borderId="35" xfId="0" applyNumberFormat="1" applyFill="1" applyBorder="1" applyAlignment="1" applyProtection="1">
      <alignment horizontal="center" vertical="center"/>
      <protection hidden="1"/>
    </xf>
    <xf numFmtId="43" fontId="0" fillId="12" borderId="93" xfId="18" applyFont="1" applyFill="1" applyBorder="1" applyAlignment="1" applyProtection="1">
      <alignment horizontal="center" vertical="center"/>
      <protection hidden="1"/>
    </xf>
    <xf numFmtId="43" fontId="0" fillId="12" borderId="14" xfId="18" applyFont="1" applyFill="1" applyBorder="1" applyAlignment="1" applyProtection="1">
      <alignment horizontal="center" vertical="center"/>
      <protection hidden="1"/>
    </xf>
    <xf numFmtId="0" fontId="78" fillId="6" borderId="9" xfId="0" applyFont="1" applyFill="1" applyBorder="1" applyAlignment="1" applyProtection="1">
      <alignment horizontal="center" vertical="center"/>
      <protection hidden="1"/>
    </xf>
    <xf numFmtId="0" fontId="78" fillId="6" borderId="13" xfId="0" applyFont="1" applyFill="1" applyBorder="1" applyAlignment="1" applyProtection="1">
      <alignment horizontal="center" vertical="center"/>
      <protection hidden="1"/>
    </xf>
    <xf numFmtId="0" fontId="94" fillId="0" borderId="0" xfId="0" applyFont="1" applyAlignment="1" applyProtection="1">
      <alignment horizontal="center" vertical="center" wrapText="1"/>
      <protection hidden="1"/>
    </xf>
    <xf numFmtId="0" fontId="94" fillId="13" borderId="0" xfId="0" applyFont="1" applyFill="1" applyAlignment="1" applyProtection="1">
      <alignment horizontal="center" vertical="center" wrapText="1"/>
      <protection hidden="1"/>
    </xf>
    <xf numFmtId="0" fontId="58" fillId="13" borderId="0" xfId="0" applyFont="1" applyFill="1" applyAlignment="1" applyProtection="1">
      <alignment horizontal="center" vertical="center" wrapText="1"/>
      <protection hidden="1"/>
    </xf>
    <xf numFmtId="0" fontId="59" fillId="12" borderId="9" xfId="0" applyFont="1" applyFill="1" applyBorder="1" applyAlignment="1" applyProtection="1">
      <alignment horizontal="center" vertical="center"/>
      <protection hidden="1"/>
    </xf>
    <xf numFmtId="0" fontId="59" fillId="12" borderId="21" xfId="0" applyFont="1" applyFill="1" applyBorder="1" applyAlignment="1" applyProtection="1">
      <alignment horizontal="center" vertical="center"/>
      <protection hidden="1"/>
    </xf>
    <xf numFmtId="0" fontId="94" fillId="13" borderId="45" xfId="0" applyFont="1" applyFill="1" applyBorder="1" applyAlignment="1" applyProtection="1">
      <alignment horizontal="center" vertical="center"/>
      <protection hidden="1"/>
    </xf>
    <xf numFmtId="0" fontId="94" fillId="13" borderId="0" xfId="0" applyFont="1" applyFill="1" applyAlignment="1" applyProtection="1">
      <alignment horizontal="center" vertical="center"/>
      <protection hidden="1"/>
    </xf>
    <xf numFmtId="9" fontId="94" fillId="13" borderId="0" xfId="0" applyNumberFormat="1" applyFont="1" applyFill="1" applyAlignment="1" applyProtection="1">
      <alignment horizontal="center" vertical="center"/>
      <protection hidden="1"/>
    </xf>
    <xf numFmtId="0" fontId="91" fillId="0" borderId="9" xfId="0" applyFont="1" applyBorder="1" applyAlignment="1" applyProtection="1">
      <alignment horizontal="center" vertical="center"/>
      <protection hidden="1"/>
    </xf>
    <xf numFmtId="0" fontId="91" fillId="0" borderId="21" xfId="0" applyFont="1" applyBorder="1" applyAlignment="1" applyProtection="1">
      <alignment horizontal="center" vertical="center"/>
      <protection hidden="1"/>
    </xf>
    <xf numFmtId="0" fontId="78" fillId="25" borderId="9" xfId="0" applyFont="1" applyFill="1" applyBorder="1" applyAlignment="1" applyProtection="1">
      <alignment horizontal="center" vertical="center" wrapText="1"/>
      <protection hidden="1"/>
    </xf>
    <xf numFmtId="0" fontId="78" fillId="25" borderId="13" xfId="0" applyFont="1" applyFill="1" applyBorder="1" applyAlignment="1" applyProtection="1">
      <alignment horizontal="center" vertical="center" wrapText="1"/>
      <protection hidden="1"/>
    </xf>
    <xf numFmtId="0" fontId="78" fillId="25" borderId="21" xfId="0" applyFont="1" applyFill="1" applyBorder="1" applyAlignment="1" applyProtection="1">
      <alignment horizontal="center" vertical="center" wrapText="1"/>
      <protection hidden="1"/>
    </xf>
    <xf numFmtId="0" fontId="78" fillId="12" borderId="9" xfId="0" applyFont="1" applyFill="1" applyBorder="1" applyAlignment="1" applyProtection="1">
      <alignment horizontal="center" vertical="center"/>
      <protection hidden="1"/>
    </xf>
    <xf numFmtId="0" fontId="78" fillId="12" borderId="13" xfId="0" applyFont="1" applyFill="1" applyBorder="1" applyAlignment="1" applyProtection="1">
      <alignment horizontal="center" vertical="center"/>
      <protection hidden="1"/>
    </xf>
    <xf numFmtId="0" fontId="78" fillId="25" borderId="9" xfId="0" applyFont="1" applyFill="1" applyBorder="1" applyAlignment="1" applyProtection="1">
      <alignment horizontal="center" vertical="center"/>
      <protection hidden="1"/>
    </xf>
    <xf numFmtId="0" fontId="78" fillId="25" borderId="13" xfId="0" applyFont="1" applyFill="1" applyBorder="1" applyAlignment="1" applyProtection="1">
      <alignment horizontal="center" vertical="center"/>
      <protection hidden="1"/>
    </xf>
    <xf numFmtId="0" fontId="78" fillId="25" borderId="21" xfId="0" applyFont="1" applyFill="1" applyBorder="1" applyAlignment="1" applyProtection="1">
      <alignment horizontal="center" vertical="center"/>
      <protection hidden="1"/>
    </xf>
    <xf numFmtId="0" fontId="87" fillId="0" borderId="9" xfId="0" applyFont="1" applyBorder="1" applyAlignment="1" applyProtection="1">
      <alignment horizontal="center" vertical="center"/>
      <protection hidden="1"/>
    </xf>
    <xf numFmtId="0" fontId="87" fillId="0" borderId="21" xfId="0" applyFont="1" applyBorder="1" applyAlignment="1" applyProtection="1">
      <alignment horizontal="center" vertical="center"/>
      <protection hidden="1"/>
    </xf>
    <xf numFmtId="0" fontId="88" fillId="25" borderId="9" xfId="0" applyFont="1" applyFill="1" applyBorder="1" applyAlignment="1" applyProtection="1">
      <alignment horizontal="center" vertical="center"/>
      <protection locked="0"/>
    </xf>
    <xf numFmtId="0" fontId="88" fillId="25" borderId="21" xfId="0" applyFont="1" applyFill="1" applyBorder="1" applyAlignment="1" applyProtection="1">
      <alignment horizontal="center" vertical="center"/>
      <protection locked="0"/>
    </xf>
    <xf numFmtId="0" fontId="88" fillId="25" borderId="9" xfId="0" applyFont="1" applyFill="1" applyBorder="1" applyAlignment="1" applyProtection="1">
      <alignment horizontal="center" vertical="center"/>
      <protection hidden="1"/>
    </xf>
    <xf numFmtId="0" fontId="88" fillId="25" borderId="21" xfId="0" applyFont="1" applyFill="1" applyBorder="1" applyAlignment="1" applyProtection="1">
      <alignment horizontal="center" vertical="center"/>
      <protection hidden="1"/>
    </xf>
    <xf numFmtId="0" fontId="90" fillId="25" borderId="9" xfId="0" applyFont="1" applyFill="1" applyBorder="1" applyAlignment="1" applyProtection="1">
      <alignment horizontal="center" vertical="center"/>
      <protection hidden="1"/>
    </xf>
    <xf numFmtId="0" fontId="90" fillId="25" borderId="21" xfId="0" applyFont="1" applyFill="1" applyBorder="1" applyAlignment="1" applyProtection="1">
      <alignment horizontal="center" vertical="center"/>
      <protection hidden="1"/>
    </xf>
    <xf numFmtId="0" fontId="102" fillId="20" borderId="9" xfId="0" applyFont="1" applyFill="1" applyBorder="1" applyAlignment="1" applyProtection="1">
      <alignment horizontal="left" vertical="center" wrapText="1"/>
      <protection hidden="1"/>
    </xf>
    <xf numFmtId="0" fontId="94" fillId="20" borderId="13" xfId="0" applyFont="1" applyFill="1" applyBorder="1" applyAlignment="1" applyProtection="1">
      <alignment horizontal="left" vertical="center" wrapText="1"/>
      <protection hidden="1"/>
    </xf>
    <xf numFmtId="0" fontId="94" fillId="20" borderId="21" xfId="0" applyFont="1" applyFill="1" applyBorder="1" applyAlignment="1" applyProtection="1">
      <alignment horizontal="left" vertical="center" wrapText="1"/>
      <protection hidden="1"/>
    </xf>
    <xf numFmtId="0" fontId="78" fillId="0" borderId="0" xfId="0" applyFont="1" applyAlignment="1" applyProtection="1">
      <alignment horizontal="center" vertical="center"/>
      <protection hidden="1"/>
    </xf>
    <xf numFmtId="179" fontId="0" fillId="9" borderId="4" xfId="0" applyNumberFormat="1" applyFill="1" applyBorder="1" applyAlignment="1" applyProtection="1">
      <alignment horizontal="left" vertical="center"/>
      <protection hidden="1"/>
    </xf>
    <xf numFmtId="14" fontId="0" fillId="9" borderId="4" xfId="0" applyNumberFormat="1" applyFill="1" applyBorder="1" applyAlignment="1" applyProtection="1">
      <alignment horizontal="left" vertical="center"/>
      <protection hidden="1"/>
    </xf>
    <xf numFmtId="0" fontId="72" fillId="9" borderId="0" xfId="0" applyFont="1" applyFill="1" applyAlignment="1" applyProtection="1">
      <alignment horizontal="center" vertical="center"/>
      <protection hidden="1"/>
    </xf>
    <xf numFmtId="0" fontId="78" fillId="13" borderId="0" xfId="0" applyFont="1" applyFill="1" applyAlignment="1" applyProtection="1">
      <alignment horizontal="center" vertical="center"/>
      <protection hidden="1"/>
    </xf>
    <xf numFmtId="0" fontId="59" fillId="0" borderId="0" xfId="0" applyFont="1" applyAlignment="1" applyProtection="1">
      <alignment horizontal="center" vertical="center"/>
      <protection hidden="1"/>
    </xf>
    <xf numFmtId="0" fontId="19" fillId="0" borderId="0" xfId="0" applyFont="1" applyAlignment="1" applyProtection="1">
      <alignment horizontal="right" vertical="center" wrapText="1"/>
      <protection hidden="1"/>
    </xf>
    <xf numFmtId="0" fontId="25" fillId="0" borderId="0" xfId="0" applyFont="1" applyAlignment="1" applyProtection="1">
      <alignment horizontal="left" vertical="center" wrapText="1"/>
      <protection hidden="1"/>
    </xf>
    <xf numFmtId="0" fontId="22" fillId="0" borderId="54" xfId="0" applyFont="1" applyBorder="1" applyAlignment="1" applyProtection="1">
      <alignment horizontal="center" vertical="center"/>
      <protection hidden="1"/>
    </xf>
    <xf numFmtId="0" fontId="163" fillId="64" borderId="9" xfId="16" applyFont="1" applyFill="1" applyBorder="1" applyAlignment="1" applyProtection="1">
      <alignment horizontal="center" vertical="center" wrapText="1"/>
      <protection hidden="1"/>
    </xf>
    <xf numFmtId="0" fontId="163" fillId="64" borderId="13" xfId="16" applyFont="1" applyFill="1" applyBorder="1" applyAlignment="1" applyProtection="1">
      <alignment horizontal="center" vertical="center" wrapText="1"/>
      <protection hidden="1"/>
    </xf>
    <xf numFmtId="0" fontId="163" fillId="64" borderId="21" xfId="16" applyFont="1" applyFill="1" applyBorder="1" applyAlignment="1" applyProtection="1">
      <alignment horizontal="center" vertical="center" wrapText="1"/>
      <protection hidden="1"/>
    </xf>
    <xf numFmtId="0" fontId="14"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161" fillId="64" borderId="33" xfId="0" applyFont="1" applyFill="1" applyBorder="1" applyAlignment="1">
      <alignment horizontal="center" vertical="center"/>
    </xf>
    <xf numFmtId="167" fontId="160" fillId="64" borderId="103" xfId="24" applyNumberFormat="1" applyFont="1" applyFill="1" applyBorder="1" applyAlignment="1" applyProtection="1">
      <alignment horizontal="center" vertical="center"/>
      <protection hidden="1"/>
    </xf>
    <xf numFmtId="167" fontId="160" fillId="64" borderId="2" xfId="24" applyNumberFormat="1" applyFont="1" applyFill="1" applyBorder="1" applyAlignment="1" applyProtection="1">
      <alignment horizontal="center" vertical="center"/>
      <protection hidden="1"/>
    </xf>
    <xf numFmtId="0" fontId="25" fillId="0" borderId="0" xfId="0" applyFont="1" applyAlignment="1">
      <alignment horizontal="right" vertical="center"/>
    </xf>
    <xf numFmtId="0" fontId="25" fillId="0" borderId="26" xfId="0" applyFont="1" applyBorder="1" applyAlignment="1">
      <alignment horizontal="right" vertical="center"/>
    </xf>
    <xf numFmtId="0" fontId="14" fillId="0" borderId="22" xfId="0" applyFont="1" applyBorder="1" applyAlignment="1" applyProtection="1">
      <alignment horizontal="left" vertical="center" wrapText="1"/>
      <protection locked="0"/>
    </xf>
    <xf numFmtId="0" fontId="19" fillId="0" borderId="11"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22" xfId="0" applyFont="1" applyBorder="1" applyAlignment="1" applyProtection="1">
      <alignment horizontal="center" vertical="center" wrapText="1"/>
      <protection hidden="1"/>
    </xf>
    <xf numFmtId="0" fontId="53" fillId="0" borderId="11" xfId="5" applyFont="1" applyBorder="1" applyAlignment="1" applyProtection="1">
      <alignment horizontal="center" vertical="center" wrapText="1"/>
      <protection hidden="1"/>
    </xf>
    <xf numFmtId="0" fontId="53" fillId="0" borderId="4" xfId="5" applyFont="1" applyBorder="1" applyAlignment="1" applyProtection="1">
      <alignment horizontal="center" vertical="center" wrapText="1"/>
      <protection hidden="1"/>
    </xf>
    <xf numFmtId="0" fontId="53" fillId="0" borderId="22" xfId="5" applyFont="1" applyBorder="1" applyAlignment="1" applyProtection="1">
      <alignment horizontal="center" vertical="center" wrapText="1"/>
      <protection hidden="1"/>
    </xf>
    <xf numFmtId="0" fontId="53" fillId="0" borderId="20" xfId="5" applyFont="1" applyBorder="1" applyAlignment="1" applyProtection="1">
      <alignment horizontal="justify" vertical="center" wrapText="1"/>
      <protection hidden="1"/>
    </xf>
    <xf numFmtId="0" fontId="53" fillId="0" borderId="14" xfId="5" applyFont="1" applyBorder="1" applyAlignment="1" applyProtection="1">
      <alignment horizontal="justify" vertical="center" wrapText="1"/>
      <protection hidden="1"/>
    </xf>
    <xf numFmtId="0" fontId="117" fillId="0" borderId="27" xfId="5" applyFont="1" applyBorder="1" applyAlignment="1">
      <alignment horizontal="left" vertical="center" wrapText="1"/>
    </xf>
    <xf numFmtId="0" fontId="117" fillId="0" borderId="132" xfId="5" applyFont="1" applyBorder="1" applyAlignment="1">
      <alignment horizontal="left" vertical="center" wrapText="1"/>
    </xf>
    <xf numFmtId="0" fontId="117" fillId="0" borderId="48" xfId="5" applyFont="1" applyBorder="1" applyAlignment="1">
      <alignment horizontal="left" vertical="center" wrapText="1"/>
    </xf>
    <xf numFmtId="0" fontId="117" fillId="0" borderId="95" xfId="5" applyFont="1" applyBorder="1" applyAlignment="1">
      <alignment horizontal="left" vertical="center" wrapText="1"/>
    </xf>
    <xf numFmtId="0" fontId="160" fillId="64" borderId="102" xfId="0" applyFont="1" applyFill="1" applyBorder="1" applyAlignment="1" applyProtection="1">
      <alignment horizontal="center" vertical="center"/>
      <protection locked="0"/>
    </xf>
    <xf numFmtId="0" fontId="160" fillId="64" borderId="0" xfId="0" applyFont="1" applyFill="1" applyAlignment="1" applyProtection="1">
      <alignment horizontal="center" vertical="center"/>
      <protection locked="0"/>
    </xf>
    <xf numFmtId="0" fontId="160" fillId="64" borderId="26" xfId="0" applyFont="1" applyFill="1" applyBorder="1" applyAlignment="1" applyProtection="1">
      <alignment horizontal="center" vertical="center"/>
      <protection locked="0"/>
    </xf>
    <xf numFmtId="0" fontId="51" fillId="64" borderId="127" xfId="0" applyFont="1" applyFill="1" applyBorder="1" applyAlignment="1">
      <alignment horizontal="center" vertical="center" wrapText="1"/>
    </xf>
    <xf numFmtId="0" fontId="51" fillId="64" borderId="6" xfId="0" applyFont="1" applyFill="1" applyBorder="1" applyAlignment="1">
      <alignment horizontal="center" vertical="center" wrapText="1"/>
    </xf>
    <xf numFmtId="0" fontId="51" fillId="64" borderId="8" xfId="33" applyFont="1" applyFill="1" applyBorder="1" applyAlignment="1" applyProtection="1">
      <alignment horizontal="center" vertical="center" wrapText="1"/>
      <protection hidden="1"/>
    </xf>
    <xf numFmtId="0" fontId="51" fillId="64" borderId="133" xfId="33" applyFont="1" applyFill="1" applyBorder="1" applyAlignment="1" applyProtection="1">
      <alignment horizontal="center" vertical="center" wrapText="1"/>
      <protection hidden="1"/>
    </xf>
    <xf numFmtId="0" fontId="160" fillId="64" borderId="8" xfId="33" applyFont="1" applyFill="1" applyBorder="1" applyAlignment="1" applyProtection="1">
      <alignment horizontal="center" vertical="center" wrapText="1"/>
      <protection hidden="1"/>
    </xf>
    <xf numFmtId="0" fontId="160" fillId="64" borderId="133" xfId="33" applyFont="1" applyFill="1" applyBorder="1" applyAlignment="1" applyProtection="1">
      <alignment horizontal="center" vertical="center" wrapText="1"/>
      <protection hidden="1"/>
    </xf>
    <xf numFmtId="0" fontId="158" fillId="64" borderId="0" xfId="0" applyFont="1" applyFill="1" applyAlignment="1" applyProtection="1">
      <alignment horizontal="center" vertical="center"/>
      <protection hidden="1"/>
    </xf>
    <xf numFmtId="0" fontId="25" fillId="0" borderId="0" xfId="0" applyFont="1" applyAlignment="1" applyProtection="1">
      <alignment horizontal="left" vertical="center"/>
      <protection hidden="1"/>
    </xf>
    <xf numFmtId="0" fontId="47" fillId="0" borderId="0" xfId="33" applyFont="1" applyFill="1" applyBorder="1" applyAlignment="1">
      <alignment horizontal="center" vertical="center" wrapText="1"/>
    </xf>
    <xf numFmtId="0" fontId="160" fillId="64" borderId="10" xfId="33" applyFont="1" applyFill="1" applyBorder="1" applyAlignment="1" applyProtection="1">
      <alignment horizontal="center" vertical="center" wrapText="1"/>
      <protection hidden="1"/>
    </xf>
    <xf numFmtId="0" fontId="160" fillId="64" borderId="11" xfId="33" applyFont="1" applyFill="1" applyBorder="1" applyAlignment="1" applyProtection="1">
      <alignment horizontal="center" vertical="center" wrapText="1"/>
      <protection hidden="1"/>
    </xf>
    <xf numFmtId="0" fontId="160" fillId="64" borderId="12" xfId="33" applyFont="1" applyFill="1" applyBorder="1" applyAlignment="1" applyProtection="1">
      <alignment horizontal="center" vertical="center" wrapText="1"/>
      <protection hidden="1"/>
    </xf>
    <xf numFmtId="0" fontId="51" fillId="64" borderId="48" xfId="33" applyFont="1" applyFill="1" applyBorder="1" applyAlignment="1" applyProtection="1">
      <alignment horizontal="center" vertical="center" wrapText="1"/>
      <protection hidden="1"/>
    </xf>
    <xf numFmtId="0" fontId="51" fillId="64" borderId="96" xfId="33" applyFont="1" applyFill="1" applyBorder="1" applyAlignment="1" applyProtection="1">
      <alignment horizontal="center" vertical="center" wrapText="1"/>
      <protection hidden="1"/>
    </xf>
    <xf numFmtId="0" fontId="51" fillId="64" borderId="11" xfId="33" applyFont="1" applyFill="1" applyBorder="1" applyAlignment="1" applyProtection="1">
      <alignment horizontal="center" vertical="center" wrapText="1"/>
      <protection hidden="1"/>
    </xf>
    <xf numFmtId="0" fontId="51" fillId="64" borderId="20" xfId="33"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57" fillId="0" borderId="0" xfId="0" applyFont="1" applyAlignment="1" applyProtection="1">
      <alignment horizontal="center" vertical="center"/>
      <protection hidden="1"/>
    </xf>
    <xf numFmtId="0" fontId="14" fillId="0" borderId="0" xfId="0" applyFont="1" applyAlignment="1" applyProtection="1">
      <alignment horizontal="center" vertical="center"/>
      <protection locked="0"/>
    </xf>
    <xf numFmtId="0" fontId="14" fillId="0" borderId="0" xfId="0" applyFont="1" applyAlignment="1">
      <alignment horizontal="center" vertical="center"/>
    </xf>
    <xf numFmtId="0" fontId="14" fillId="0" borderId="0" xfId="0" applyFont="1" applyAlignment="1" applyProtection="1">
      <alignment horizontal="center" vertical="center"/>
      <protection hidden="1"/>
    </xf>
    <xf numFmtId="0" fontId="73" fillId="0" borderId="165" xfId="0" applyFont="1" applyBorder="1" applyAlignment="1" applyProtection="1">
      <alignment horizontal="center" vertical="center" wrapText="1"/>
      <protection hidden="1"/>
    </xf>
    <xf numFmtId="0" fontId="73" fillId="0" borderId="169" xfId="0" applyFont="1" applyBorder="1" applyAlignment="1" applyProtection="1">
      <alignment horizontal="center" vertical="center" wrapText="1"/>
      <protection hidden="1"/>
    </xf>
    <xf numFmtId="0" fontId="73" fillId="0" borderId="168" xfId="0" applyFont="1" applyBorder="1" applyAlignment="1" applyProtection="1">
      <alignment horizontal="center" vertical="center" wrapText="1"/>
      <protection hidden="1"/>
    </xf>
    <xf numFmtId="0" fontId="73" fillId="0" borderId="31" xfId="0" applyFont="1" applyBorder="1" applyAlignment="1" applyProtection="1">
      <alignment horizontal="center" vertical="center" wrapText="1"/>
      <protection hidden="1"/>
    </xf>
    <xf numFmtId="0" fontId="73" fillId="0" borderId="33" xfId="0" applyFont="1" applyBorder="1" applyAlignment="1" applyProtection="1">
      <alignment horizontal="center" vertical="center" wrapText="1"/>
      <protection hidden="1"/>
    </xf>
    <xf numFmtId="0" fontId="73" fillId="0" borderId="35" xfId="0" applyFont="1" applyBorder="1" applyAlignment="1" applyProtection="1">
      <alignment horizontal="center" vertical="center" wrapText="1"/>
      <protection hidden="1"/>
    </xf>
    <xf numFmtId="0" fontId="14" fillId="0" borderId="158" xfId="0" applyFont="1" applyBorder="1" applyAlignment="1" applyProtection="1">
      <alignment horizontal="center" vertical="center"/>
      <protection hidden="1"/>
    </xf>
    <xf numFmtId="0" fontId="12" fillId="9" borderId="0" xfId="0" applyFont="1" applyFill="1" applyAlignment="1">
      <alignment horizontal="center" vertical="center"/>
    </xf>
    <xf numFmtId="170" fontId="25" fillId="9" borderId="4" xfId="2" applyNumberFormat="1" applyFont="1" applyFill="1" applyBorder="1" applyAlignment="1" applyProtection="1">
      <alignment horizontal="center" vertical="center" wrapText="1"/>
      <protection hidden="1"/>
    </xf>
    <xf numFmtId="0" fontId="11" fillId="13" borderId="0" xfId="16" applyFont="1" applyFill="1" applyBorder="1" applyAlignment="1" applyProtection="1">
      <alignment horizontal="center" vertical="center" wrapText="1"/>
      <protection hidden="1"/>
    </xf>
    <xf numFmtId="41" fontId="47" fillId="9" borderId="4" xfId="0" applyNumberFormat="1" applyFont="1" applyFill="1" applyBorder="1" applyAlignment="1" applyProtection="1">
      <alignment horizontal="left"/>
      <protection hidden="1"/>
    </xf>
    <xf numFmtId="14" fontId="47" fillId="9" borderId="4" xfId="0" applyNumberFormat="1" applyFont="1" applyFill="1" applyBorder="1" applyAlignment="1" applyProtection="1">
      <alignment horizontal="left"/>
      <protection hidden="1"/>
    </xf>
    <xf numFmtId="14" fontId="47" fillId="9" borderId="4" xfId="0" applyNumberFormat="1" applyFont="1" applyFill="1" applyBorder="1" applyAlignment="1" applyProtection="1">
      <alignment horizontal="justify"/>
      <protection hidden="1"/>
    </xf>
    <xf numFmtId="0" fontId="19" fillId="9" borderId="4" xfId="0" applyFont="1" applyFill="1" applyBorder="1" applyAlignment="1" applyProtection="1">
      <alignment horizontal="center" vertical="center"/>
      <protection hidden="1"/>
    </xf>
    <xf numFmtId="0" fontId="110" fillId="5" borderId="4" xfId="5" applyFont="1" applyFill="1" applyBorder="1" applyAlignment="1" applyProtection="1">
      <alignment horizontal="center" vertical="center" wrapText="1"/>
      <protection hidden="1"/>
    </xf>
    <xf numFmtId="14" fontId="28" fillId="20" borderId="160" xfId="0" applyNumberFormat="1" applyFont="1" applyFill="1" applyBorder="1" applyAlignment="1" applyProtection="1">
      <alignment horizontal="center" vertical="center" wrapText="1"/>
      <protection locked="0"/>
    </xf>
    <xf numFmtId="14" fontId="28" fillId="20" borderId="161" xfId="0" applyNumberFormat="1" applyFont="1" applyFill="1" applyBorder="1" applyAlignment="1" applyProtection="1">
      <alignment horizontal="center" vertical="center" wrapText="1"/>
      <protection locked="0"/>
    </xf>
    <xf numFmtId="2" fontId="35" fillId="46" borderId="108" xfId="0" applyNumberFormat="1" applyFont="1" applyFill="1" applyBorder="1" applyAlignment="1" applyProtection="1">
      <alignment horizontal="center" vertical="center" wrapText="1"/>
      <protection hidden="1"/>
    </xf>
    <xf numFmtId="2" fontId="35" fillId="46" borderId="110" xfId="0" applyNumberFormat="1" applyFont="1" applyFill="1" applyBorder="1" applyAlignment="1" applyProtection="1">
      <alignment horizontal="center" vertical="center" wrapText="1"/>
      <protection hidden="1"/>
    </xf>
    <xf numFmtId="0" fontId="35" fillId="46" borderId="105" xfId="0" applyFont="1" applyFill="1" applyBorder="1" applyAlignment="1" applyProtection="1">
      <alignment horizontal="center" vertical="center" wrapText="1"/>
      <protection hidden="1"/>
    </xf>
    <xf numFmtId="0" fontId="35" fillId="46" borderId="155" xfId="0" applyFont="1" applyFill="1" applyBorder="1" applyAlignment="1" applyProtection="1">
      <alignment horizontal="center" vertical="center" wrapText="1"/>
      <protection hidden="1"/>
    </xf>
    <xf numFmtId="0" fontId="35" fillId="46" borderId="107" xfId="0" applyFont="1" applyFill="1" applyBorder="1" applyAlignment="1" applyProtection="1">
      <alignment horizontal="center" vertical="center" wrapText="1"/>
      <protection hidden="1"/>
    </xf>
    <xf numFmtId="0" fontId="35" fillId="46" borderId="109" xfId="0" applyFont="1" applyFill="1" applyBorder="1" applyAlignment="1" applyProtection="1">
      <alignment horizontal="center" vertical="center" wrapText="1"/>
      <protection hidden="1"/>
    </xf>
    <xf numFmtId="179" fontId="14" fillId="9" borderId="9" xfId="0" applyNumberFormat="1" applyFont="1" applyFill="1" applyBorder="1" applyAlignment="1">
      <alignment horizontal="center" vertical="center"/>
    </xf>
    <xf numFmtId="179" fontId="14" fillId="9" borderId="21" xfId="0" applyNumberFormat="1" applyFont="1" applyFill="1" applyBorder="1" applyAlignment="1">
      <alignment horizontal="center" vertical="center"/>
    </xf>
    <xf numFmtId="0" fontId="19" fillId="46" borderId="4" xfId="0" applyFont="1" applyFill="1" applyBorder="1" applyAlignment="1">
      <alignment horizontal="center" vertical="center" wrapText="1"/>
    </xf>
    <xf numFmtId="170" fontId="25" fillId="67" borderId="4" xfId="2" applyNumberFormat="1" applyFont="1" applyFill="1" applyBorder="1" applyAlignment="1" applyProtection="1">
      <alignment horizontal="center" vertical="center" wrapText="1"/>
      <protection hidden="1"/>
    </xf>
    <xf numFmtId="170" fontId="25" fillId="67" borderId="4" xfId="2" applyNumberFormat="1" applyFont="1" applyFill="1" applyBorder="1" applyAlignment="1" applyProtection="1">
      <alignment horizontal="left" vertical="center" wrapText="1"/>
      <protection hidden="1"/>
    </xf>
    <xf numFmtId="170" fontId="25" fillId="67" borderId="158" xfId="2" applyNumberFormat="1" applyFont="1" applyFill="1" applyBorder="1" applyAlignment="1" applyProtection="1">
      <alignment horizontal="left" vertical="center" wrapText="1"/>
      <protection hidden="1"/>
    </xf>
    <xf numFmtId="170" fontId="25" fillId="67" borderId="24" xfId="2" applyNumberFormat="1" applyFont="1" applyFill="1" applyBorder="1" applyAlignment="1" applyProtection="1">
      <alignment horizontal="left" vertical="center" wrapText="1"/>
      <protection hidden="1"/>
    </xf>
    <xf numFmtId="170" fontId="25" fillId="67" borderId="14" xfId="2" applyNumberFormat="1" applyFont="1" applyFill="1" applyBorder="1" applyAlignment="1" applyProtection="1">
      <alignment horizontal="left" vertical="center" wrapText="1"/>
      <protection hidden="1"/>
    </xf>
    <xf numFmtId="170" fontId="25" fillId="67" borderId="156" xfId="2" applyNumberFormat="1" applyFont="1" applyFill="1" applyBorder="1" applyAlignment="1" applyProtection="1">
      <alignment horizontal="center" vertical="center" wrapText="1"/>
      <protection hidden="1"/>
    </xf>
    <xf numFmtId="170" fontId="25" fillId="67" borderId="157" xfId="2" applyNumberFormat="1" applyFont="1" applyFill="1" applyBorder="1" applyAlignment="1" applyProtection="1">
      <alignment horizontal="center" vertical="center" wrapText="1"/>
      <protection hidden="1"/>
    </xf>
    <xf numFmtId="170" fontId="25" fillId="67" borderId="45" xfId="2" applyNumberFormat="1" applyFont="1" applyFill="1" applyBorder="1" applyAlignment="1" applyProtection="1">
      <alignment horizontal="center" vertical="center" wrapText="1"/>
      <protection hidden="1"/>
    </xf>
    <xf numFmtId="170" fontId="25" fillId="67" borderId="46" xfId="2" applyNumberFormat="1" applyFont="1" applyFill="1" applyBorder="1" applyAlignment="1" applyProtection="1">
      <alignment horizontal="center" vertical="center" wrapText="1"/>
      <protection hidden="1"/>
    </xf>
    <xf numFmtId="170" fontId="25" fillId="67" borderId="31" xfId="2" applyNumberFormat="1" applyFont="1" applyFill="1" applyBorder="1" applyAlignment="1" applyProtection="1">
      <alignment horizontal="center" vertical="center" wrapText="1"/>
      <protection hidden="1"/>
    </xf>
    <xf numFmtId="170" fontId="25" fillId="67" borderId="35" xfId="2" applyNumberFormat="1" applyFont="1" applyFill="1" applyBorder="1" applyAlignment="1" applyProtection="1">
      <alignment horizontal="center" vertical="center" wrapText="1"/>
      <protection hidden="1"/>
    </xf>
    <xf numFmtId="170" fontId="25" fillId="67" borderId="156" xfId="2" applyNumberFormat="1" applyFont="1" applyFill="1" applyBorder="1" applyAlignment="1" applyProtection="1">
      <alignment horizontal="left" vertical="center" wrapText="1"/>
      <protection hidden="1"/>
    </xf>
    <xf numFmtId="170" fontId="25" fillId="67" borderId="159" xfId="2" applyNumberFormat="1" applyFont="1" applyFill="1" applyBorder="1" applyAlignment="1" applyProtection="1">
      <alignment horizontal="left" vertical="center" wrapText="1"/>
      <protection hidden="1"/>
    </xf>
    <xf numFmtId="0" fontId="74" fillId="46" borderId="106" xfId="0" applyFont="1" applyFill="1" applyBorder="1" applyAlignment="1" applyProtection="1">
      <alignment horizontal="center" vertical="center" wrapText="1"/>
      <protection hidden="1"/>
    </xf>
    <xf numFmtId="0" fontId="74" fillId="46" borderId="110" xfId="0" applyFont="1" applyFill="1" applyBorder="1" applyAlignment="1" applyProtection="1">
      <alignment horizontal="center" vertical="center" wrapText="1"/>
      <protection hidden="1"/>
    </xf>
    <xf numFmtId="2" fontId="74" fillId="46" borderId="108" xfId="0" applyNumberFormat="1" applyFont="1" applyFill="1" applyBorder="1" applyAlignment="1" applyProtection="1">
      <alignment horizontal="center" vertical="center" wrapText="1"/>
      <protection hidden="1"/>
    </xf>
    <xf numFmtId="2" fontId="74" fillId="46" borderId="110" xfId="0" applyNumberFormat="1" applyFont="1" applyFill="1" applyBorder="1" applyAlignment="1" applyProtection="1">
      <alignment horizontal="center" vertical="center" wrapText="1"/>
      <protection hidden="1"/>
    </xf>
    <xf numFmtId="0" fontId="25" fillId="0" borderId="9" xfId="0" applyFont="1" applyBorder="1" applyAlignment="1" applyProtection="1">
      <alignment horizontal="center" vertical="center"/>
      <protection locked="0"/>
    </xf>
    <xf numFmtId="0" fontId="25" fillId="0" borderId="13" xfId="0" applyFont="1" applyBorder="1" applyAlignment="1" applyProtection="1">
      <alignment horizontal="center" vertical="center"/>
      <protection locked="0"/>
    </xf>
    <xf numFmtId="0" fontId="19" fillId="20" borderId="4" xfId="0" applyFont="1" applyFill="1" applyBorder="1" applyAlignment="1">
      <alignment horizontal="center" vertical="center" wrapText="1"/>
    </xf>
    <xf numFmtId="180" fontId="35" fillId="46" borderId="108" xfId="18" applyNumberFormat="1" applyFont="1" applyFill="1" applyBorder="1" applyAlignment="1" applyProtection="1">
      <alignment horizontal="center" vertical="center" wrapText="1"/>
      <protection hidden="1"/>
    </xf>
    <xf numFmtId="180" fontId="35" fillId="46" borderId="110" xfId="18" applyNumberFormat="1" applyFont="1" applyFill="1" applyBorder="1" applyAlignment="1" applyProtection="1">
      <alignment horizontal="center" vertical="center" wrapText="1"/>
      <protection hidden="1"/>
    </xf>
    <xf numFmtId="9" fontId="25" fillId="33" borderId="9" xfId="2" applyFont="1" applyFill="1" applyBorder="1" applyAlignment="1" applyProtection="1">
      <alignment horizontal="center" vertical="center" wrapText="1"/>
      <protection hidden="1"/>
    </xf>
    <xf numFmtId="9" fontId="25" fillId="33" borderId="21" xfId="2" applyFont="1" applyFill="1" applyBorder="1" applyAlignment="1" applyProtection="1">
      <alignment horizontal="center" vertical="center" wrapText="1"/>
      <protection hidden="1"/>
    </xf>
    <xf numFmtId="0" fontId="35" fillId="46" borderId="104" xfId="0" applyFont="1" applyFill="1" applyBorder="1" applyAlignment="1" applyProtection="1">
      <alignment horizontal="center" vertical="center" wrapText="1"/>
      <protection hidden="1"/>
    </xf>
    <xf numFmtId="9" fontId="25" fillId="33" borderId="4" xfId="2" applyFont="1" applyFill="1" applyBorder="1" applyAlignment="1" applyProtection="1">
      <alignment horizontal="center" vertical="center" wrapText="1"/>
      <protection hidden="1"/>
    </xf>
    <xf numFmtId="0" fontId="10" fillId="55" borderId="149" xfId="9" applyFont="1" applyFill="1" applyBorder="1" applyAlignment="1">
      <alignment horizontal="center" vertical="center"/>
    </xf>
    <xf numFmtId="0" fontId="10" fillId="55" borderId="150" xfId="9" applyFont="1" applyFill="1" applyBorder="1" applyAlignment="1">
      <alignment horizontal="center" vertical="center"/>
    </xf>
    <xf numFmtId="0" fontId="10" fillId="55" borderId="151" xfId="9" applyFont="1" applyFill="1" applyBorder="1" applyAlignment="1">
      <alignment horizontal="center" vertical="center"/>
    </xf>
    <xf numFmtId="0" fontId="0" fillId="0" borderId="167" xfId="0" applyBorder="1" applyAlignment="1">
      <alignment horizontal="center" vertical="center"/>
    </xf>
    <xf numFmtId="0" fontId="0" fillId="0" borderId="14" xfId="0" applyBorder="1" applyAlignment="1">
      <alignment horizontal="center" vertical="center"/>
    </xf>
    <xf numFmtId="0" fontId="47" fillId="0" borderId="9" xfId="0" applyFont="1" applyBorder="1" applyAlignment="1" applyProtection="1">
      <alignment horizontal="left" vertical="center" wrapText="1"/>
      <protection locked="0" hidden="1"/>
    </xf>
    <xf numFmtId="0" fontId="47" fillId="0" borderId="21" xfId="0" applyFont="1" applyBorder="1" applyAlignment="1" applyProtection="1">
      <alignment horizontal="left" vertical="center" wrapText="1"/>
      <protection locked="0" hidden="1"/>
    </xf>
    <xf numFmtId="0" fontId="47" fillId="0" borderId="9" xfId="0" applyFont="1" applyBorder="1" applyAlignment="1" applyProtection="1">
      <alignment horizontal="left" vertical="center"/>
      <protection hidden="1"/>
    </xf>
    <xf numFmtId="0" fontId="47" fillId="0" borderId="21" xfId="0" applyFont="1" applyBorder="1" applyAlignment="1" applyProtection="1">
      <alignment horizontal="left" vertical="center"/>
      <protection hidden="1"/>
    </xf>
    <xf numFmtId="0" fontId="150" fillId="54" borderId="14" xfId="5" applyFont="1" applyFill="1" applyBorder="1" applyAlignment="1">
      <alignment horizontal="center"/>
    </xf>
    <xf numFmtId="0" fontId="14" fillId="0" borderId="33" xfId="0" applyFont="1" applyBorder="1" applyAlignment="1">
      <alignment horizontal="left" vertical="center"/>
    </xf>
    <xf numFmtId="41" fontId="14" fillId="0" borderId="13" xfId="0" applyNumberFormat="1" applyFont="1" applyBorder="1" applyAlignment="1">
      <alignment horizontal="left" vertical="center"/>
    </xf>
    <xf numFmtId="0" fontId="14" fillId="0" borderId="13" xfId="0" applyFont="1" applyBorder="1" applyAlignment="1">
      <alignment horizontal="left" vertical="center"/>
    </xf>
    <xf numFmtId="14" fontId="14" fillId="0" borderId="13" xfId="0" applyNumberFormat="1" applyFont="1" applyBorder="1" applyAlignment="1">
      <alignment horizontal="left" vertical="center"/>
    </xf>
    <xf numFmtId="0" fontId="22" fillId="0" borderId="144"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 xfId="0" applyFont="1" applyBorder="1" applyAlignment="1">
      <alignment horizontal="center" vertical="center" wrapText="1"/>
    </xf>
    <xf numFmtId="0" fontId="28" fillId="55" borderId="4" xfId="9" applyFont="1" applyFill="1" applyBorder="1" applyAlignment="1" applyProtection="1">
      <alignment horizontal="center" vertical="center" wrapText="1"/>
      <protection hidden="1"/>
    </xf>
    <xf numFmtId="0" fontId="28" fillId="55" borderId="63" xfId="9" applyFont="1" applyFill="1" applyBorder="1" applyAlignment="1" applyProtection="1">
      <alignment horizontal="center" vertical="center" wrapText="1"/>
      <protection hidden="1"/>
    </xf>
    <xf numFmtId="0" fontId="29" fillId="53" borderId="4" xfId="6" applyNumberFormat="1" applyFont="1" applyFill="1" applyBorder="1" applyAlignment="1">
      <alignment horizontal="center" vertical="center"/>
    </xf>
    <xf numFmtId="0" fontId="29" fillId="53" borderId="63" xfId="6" applyNumberFormat="1" applyFont="1" applyFill="1" applyBorder="1" applyAlignment="1">
      <alignment horizontal="center" vertical="center"/>
    </xf>
    <xf numFmtId="0" fontId="29" fillId="53" borderId="9" xfId="6" applyNumberFormat="1" applyFont="1" applyFill="1" applyBorder="1" applyAlignment="1">
      <alignment horizontal="center" vertical="center"/>
    </xf>
    <xf numFmtId="0" fontId="29" fillId="53" borderId="152" xfId="6" applyNumberFormat="1" applyFont="1" applyFill="1" applyBorder="1" applyAlignment="1">
      <alignment horizontal="center" vertical="center"/>
    </xf>
    <xf numFmtId="0" fontId="78" fillId="53" borderId="99" xfId="5" applyFont="1" applyFill="1" applyBorder="1" applyAlignment="1">
      <alignment horizontal="center" vertical="center" wrapText="1"/>
    </xf>
    <xf numFmtId="0" fontId="78" fillId="53" borderId="101" xfId="5" applyFont="1" applyFill="1" applyBorder="1" applyAlignment="1">
      <alignment horizontal="center" vertical="center" wrapText="1"/>
    </xf>
    <xf numFmtId="0" fontId="78" fillId="53" borderId="102" xfId="5" applyFont="1" applyFill="1" applyBorder="1" applyAlignment="1">
      <alignment horizontal="center" vertical="center" wrapText="1"/>
    </xf>
    <xf numFmtId="0" fontId="78" fillId="53" borderId="26" xfId="5" applyFont="1" applyFill="1" applyBorder="1" applyAlignment="1">
      <alignment horizontal="center" vertical="center" wrapText="1"/>
    </xf>
    <xf numFmtId="0" fontId="150" fillId="54" borderId="97" xfId="5" applyFont="1" applyFill="1" applyBorder="1" applyAlignment="1">
      <alignment horizontal="center" vertical="center"/>
    </xf>
    <xf numFmtId="0" fontId="150" fillId="54" borderId="98" xfId="5" applyFont="1" applyFill="1" applyBorder="1" applyAlignment="1">
      <alignment horizontal="center" vertical="center"/>
    </xf>
    <xf numFmtId="0" fontId="150" fillId="54" borderId="5" xfId="5" applyFont="1" applyFill="1" applyBorder="1" applyAlignment="1">
      <alignment horizontal="center" vertical="center"/>
    </xf>
    <xf numFmtId="0" fontId="22" fillId="13" borderId="0" xfId="0" applyFont="1" applyFill="1" applyAlignment="1" applyProtection="1">
      <alignment horizontal="center"/>
      <protection hidden="1"/>
    </xf>
    <xf numFmtId="0" fontId="30" fillId="0" borderId="59" xfId="0" applyFont="1" applyBorder="1" applyAlignment="1">
      <alignment horizontal="left"/>
    </xf>
    <xf numFmtId="0" fontId="30" fillId="0" borderId="60" xfId="0" applyFont="1" applyBorder="1" applyAlignment="1">
      <alignment horizontal="left"/>
    </xf>
    <xf numFmtId="0" fontId="30" fillId="0" borderId="62" xfId="0" applyFont="1" applyBorder="1" applyAlignment="1">
      <alignment horizontal="left"/>
    </xf>
    <xf numFmtId="0" fontId="30" fillId="0" borderId="4" xfId="0" applyFont="1" applyBorder="1" applyAlignment="1">
      <alignment horizontal="left"/>
    </xf>
    <xf numFmtId="41" fontId="14" fillId="0" borderId="33" xfId="0" applyNumberFormat="1" applyFont="1" applyBorder="1" applyAlignment="1" applyProtection="1">
      <alignment horizontal="left"/>
      <protection hidden="1"/>
    </xf>
    <xf numFmtId="0" fontId="14" fillId="0" borderId="33" xfId="0" applyFont="1" applyBorder="1" applyAlignment="1" applyProtection="1">
      <alignment horizontal="left"/>
      <protection hidden="1"/>
    </xf>
    <xf numFmtId="41" fontId="14" fillId="0" borderId="13" xfId="0" applyNumberFormat="1" applyFont="1" applyBorder="1" applyAlignment="1" applyProtection="1">
      <alignment horizontal="left"/>
      <protection hidden="1"/>
    </xf>
    <xf numFmtId="0" fontId="14" fillId="0" borderId="13" xfId="0" applyFont="1" applyBorder="1" applyAlignment="1" applyProtection="1">
      <alignment horizontal="left"/>
      <protection hidden="1"/>
    </xf>
    <xf numFmtId="0" fontId="73" fillId="0" borderId="9" xfId="0" applyFont="1" applyBorder="1" applyAlignment="1" applyProtection="1">
      <alignment horizontal="center" vertical="center" wrapText="1"/>
      <protection hidden="1"/>
    </xf>
    <xf numFmtId="0" fontId="73" fillId="0" borderId="13" xfId="0" applyFont="1" applyBorder="1" applyAlignment="1" applyProtection="1">
      <alignment horizontal="center" vertical="center" wrapText="1"/>
      <protection hidden="1"/>
    </xf>
    <xf numFmtId="0" fontId="73" fillId="0" borderId="21" xfId="0" applyFont="1" applyBorder="1" applyAlignment="1" applyProtection="1">
      <alignment horizontal="center" vertical="center" wrapText="1"/>
      <protection hidden="1"/>
    </xf>
    <xf numFmtId="0" fontId="14" fillId="13" borderId="33" xfId="0" applyFont="1" applyFill="1" applyBorder="1" applyAlignment="1" applyProtection="1">
      <alignment horizontal="left"/>
      <protection hidden="1"/>
    </xf>
    <xf numFmtId="14" fontId="14" fillId="13" borderId="13" xfId="0" applyNumberFormat="1" applyFont="1" applyFill="1" applyBorder="1" applyAlignment="1" applyProtection="1">
      <alignment horizontal="left"/>
      <protection hidden="1"/>
    </xf>
    <xf numFmtId="0" fontId="14" fillId="13" borderId="13" xfId="0" applyFont="1" applyFill="1" applyBorder="1" applyAlignment="1" applyProtection="1">
      <alignment horizontal="left"/>
      <protection hidden="1"/>
    </xf>
    <xf numFmtId="0" fontId="37" fillId="9" borderId="54" xfId="0" applyFont="1" applyFill="1" applyBorder="1" applyAlignment="1" applyProtection="1">
      <alignment horizontal="center" vertical="center" wrapText="1"/>
      <protection hidden="1"/>
    </xf>
    <xf numFmtId="0" fontId="30" fillId="18" borderId="55" xfId="0" applyFont="1" applyFill="1" applyBorder="1" applyAlignment="1" applyProtection="1">
      <alignment horizontal="center" vertical="center" wrapText="1"/>
      <protection hidden="1"/>
    </xf>
    <xf numFmtId="0" fontId="30" fillId="18" borderId="56" xfId="0" applyFont="1" applyFill="1" applyBorder="1" applyAlignment="1" applyProtection="1">
      <alignment horizontal="center" vertical="center" wrapText="1"/>
      <protection hidden="1"/>
    </xf>
    <xf numFmtId="0" fontId="30" fillId="18" borderId="55" xfId="0" applyFont="1" applyFill="1" applyBorder="1" applyAlignment="1">
      <alignment horizontal="center" vertical="center" wrapText="1"/>
    </xf>
    <xf numFmtId="0" fontId="30" fillId="18" borderId="56" xfId="0" applyFont="1" applyFill="1" applyBorder="1" applyAlignment="1">
      <alignment horizontal="center" vertical="center" wrapText="1"/>
    </xf>
    <xf numFmtId="0" fontId="30" fillId="0" borderId="74" xfId="0" applyFont="1" applyBorder="1" applyAlignment="1">
      <alignment horizontal="left"/>
    </xf>
    <xf numFmtId="0" fontId="30" fillId="0" borderId="14" xfId="0" applyFont="1" applyBorder="1" applyAlignment="1">
      <alignment horizontal="left"/>
    </xf>
    <xf numFmtId="0" fontId="30" fillId="0" borderId="65" xfId="0" applyFont="1" applyBorder="1" applyAlignment="1">
      <alignment horizontal="left"/>
    </xf>
    <xf numFmtId="0" fontId="30" fillId="0" borderId="66" xfId="0" applyFont="1" applyBorder="1" applyAlignment="1">
      <alignment horizontal="left"/>
    </xf>
    <xf numFmtId="0" fontId="25" fillId="0" borderId="55" xfId="0" applyFont="1" applyBorder="1" applyAlignment="1">
      <alignment horizontal="left"/>
    </xf>
    <xf numFmtId="0" fontId="25" fillId="0" borderId="56" xfId="0" applyFont="1" applyBorder="1" applyAlignment="1">
      <alignment horizontal="left"/>
    </xf>
    <xf numFmtId="0" fontId="33" fillId="29" borderId="71" xfId="0" applyFont="1" applyFill="1" applyBorder="1" applyAlignment="1">
      <alignment horizontal="left" wrapText="1"/>
    </xf>
    <xf numFmtId="0" fontId="33" fillId="29" borderId="71" xfId="0" applyFont="1" applyFill="1" applyBorder="1" applyAlignment="1">
      <alignment horizontal="left"/>
    </xf>
    <xf numFmtId="0" fontId="30" fillId="0" borderId="71" xfId="0" applyFont="1" applyBorder="1" applyAlignment="1">
      <alignment horizontal="center"/>
    </xf>
    <xf numFmtId="0" fontId="25" fillId="35" borderId="83" xfId="0" applyFont="1" applyFill="1" applyBorder="1" applyAlignment="1">
      <alignment horizontal="center" vertical="center" wrapText="1"/>
    </xf>
    <xf numFmtId="0" fontId="25" fillId="35" borderId="61" xfId="0" applyFont="1" applyFill="1" applyBorder="1" applyAlignment="1">
      <alignment horizontal="center" vertical="center" wrapText="1"/>
    </xf>
    <xf numFmtId="0" fontId="56" fillId="0" borderId="78" xfId="0" applyFont="1" applyBorder="1" applyAlignment="1" applyProtection="1">
      <alignment horizontal="left" vertical="center"/>
      <protection locked="0"/>
    </xf>
    <xf numFmtId="0" fontId="56" fillId="0" borderId="21" xfId="0" applyFont="1" applyBorder="1" applyAlignment="1" applyProtection="1">
      <alignment horizontal="left" vertical="center"/>
      <protection locked="0"/>
    </xf>
    <xf numFmtId="0" fontId="25" fillId="0" borderId="55" xfId="0" applyFont="1" applyBorder="1" applyAlignment="1" applyProtection="1">
      <alignment horizontal="left"/>
      <protection hidden="1"/>
    </xf>
    <xf numFmtId="0" fontId="25" fillId="0" borderId="56" xfId="0" applyFont="1" applyBorder="1" applyAlignment="1" applyProtection="1">
      <alignment horizontal="left"/>
      <protection hidden="1"/>
    </xf>
    <xf numFmtId="0" fontId="37" fillId="33" borderId="55" xfId="0" applyFont="1" applyFill="1" applyBorder="1" applyAlignment="1">
      <alignment horizontal="center" vertical="center" wrapText="1"/>
    </xf>
    <xf numFmtId="0" fontId="37" fillId="33" borderId="71" xfId="0" applyFont="1" applyFill="1" applyBorder="1" applyAlignment="1">
      <alignment horizontal="center" vertical="center" wrapText="1"/>
    </xf>
    <xf numFmtId="0" fontId="37" fillId="33" borderId="76" xfId="0" applyFont="1" applyFill="1" applyBorder="1" applyAlignment="1">
      <alignment horizontal="center" vertical="center" wrapText="1"/>
    </xf>
    <xf numFmtId="0" fontId="25" fillId="34" borderId="71" xfId="0" applyFont="1" applyFill="1" applyBorder="1" applyAlignment="1">
      <alignment horizontal="center" wrapText="1"/>
    </xf>
    <xf numFmtId="0" fontId="25" fillId="34" borderId="76" xfId="0" applyFont="1" applyFill="1" applyBorder="1" applyAlignment="1">
      <alignment horizontal="center" wrapText="1"/>
    </xf>
    <xf numFmtId="0" fontId="56" fillId="0" borderId="78" xfId="0" applyFont="1" applyBorder="1" applyAlignment="1" applyProtection="1">
      <alignment horizontal="left" vertical="center" wrapText="1"/>
      <protection locked="0"/>
    </xf>
    <xf numFmtId="0" fontId="56" fillId="0" borderId="21" xfId="0" applyFont="1" applyBorder="1" applyAlignment="1" applyProtection="1">
      <alignment horizontal="left" vertical="center" wrapText="1"/>
      <protection locked="0"/>
    </xf>
    <xf numFmtId="0" fontId="25" fillId="13" borderId="10" xfId="0" applyFont="1" applyFill="1" applyBorder="1" applyAlignment="1" applyProtection="1">
      <alignment vertical="top"/>
      <protection locked="0"/>
    </xf>
    <xf numFmtId="0" fontId="25" fillId="13" borderId="11" xfId="0" applyFont="1" applyFill="1" applyBorder="1" applyAlignment="1" applyProtection="1">
      <alignment vertical="top"/>
      <protection locked="0"/>
    </xf>
    <xf numFmtId="0" fontId="14" fillId="13" borderId="25" xfId="0" applyFont="1" applyFill="1" applyBorder="1" applyAlignment="1" applyProtection="1">
      <alignment horizontal="left" vertical="top"/>
      <protection locked="0"/>
    </xf>
    <xf numFmtId="0" fontId="14" fillId="13" borderId="22" xfId="0" applyFont="1" applyFill="1" applyBorder="1" applyAlignment="1" applyProtection="1">
      <alignment horizontal="left" vertical="top"/>
      <protection locked="0"/>
    </xf>
    <xf numFmtId="0" fontId="25" fillId="13" borderId="27" xfId="0" applyFont="1" applyFill="1" applyBorder="1" applyAlignment="1" applyProtection="1">
      <alignment horizontal="left" vertical="top"/>
      <protection locked="0"/>
    </xf>
    <xf numFmtId="0" fontId="25" fillId="13" borderId="87" xfId="0" applyFont="1" applyFill="1" applyBorder="1" applyAlignment="1" applyProtection="1">
      <alignment horizontal="left" vertical="top"/>
      <protection locked="0"/>
    </xf>
    <xf numFmtId="0" fontId="14" fillId="13" borderId="32" xfId="0" applyFont="1" applyFill="1" applyBorder="1" applyAlignment="1" applyProtection="1">
      <alignment horizontal="left" vertical="top"/>
      <protection locked="0"/>
    </xf>
    <xf numFmtId="0" fontId="14" fillId="13" borderId="50" xfId="0" applyFont="1" applyFill="1" applyBorder="1" applyAlignment="1" applyProtection="1">
      <alignment horizontal="left" vertical="top"/>
      <protection locked="0"/>
    </xf>
    <xf numFmtId="0" fontId="25" fillId="13" borderId="10" xfId="0" applyFont="1" applyFill="1" applyBorder="1" applyAlignment="1" applyProtection="1">
      <alignment horizontal="left" vertical="top"/>
      <protection locked="0"/>
    </xf>
    <xf numFmtId="0" fontId="25" fillId="13" borderId="11" xfId="0" applyFont="1" applyFill="1" applyBorder="1" applyAlignment="1" applyProtection="1">
      <alignment horizontal="left" vertical="top"/>
      <protection locked="0"/>
    </xf>
    <xf numFmtId="0" fontId="14" fillId="13" borderId="16" xfId="0" applyFont="1" applyFill="1" applyBorder="1" applyAlignment="1" applyProtection="1">
      <alignment horizontal="left" vertical="top"/>
      <protection locked="0"/>
    </xf>
    <xf numFmtId="0" fontId="14" fillId="13" borderId="4" xfId="0" applyFont="1" applyFill="1" applyBorder="1" applyAlignment="1" applyProtection="1">
      <alignment horizontal="left" vertical="top"/>
      <protection locked="0"/>
    </xf>
    <xf numFmtId="0" fontId="14" fillId="13" borderId="16" xfId="0" applyFont="1" applyFill="1" applyBorder="1" applyAlignment="1" applyProtection="1">
      <alignment horizontal="left"/>
      <protection locked="0"/>
    </xf>
    <xf numFmtId="0" fontId="14" fillId="13" borderId="4" xfId="0" applyFont="1" applyFill="1" applyBorder="1" applyAlignment="1" applyProtection="1">
      <alignment horizontal="left"/>
      <protection locked="0"/>
    </xf>
    <xf numFmtId="0" fontId="14" fillId="13" borderId="25" xfId="0" applyFont="1" applyFill="1" applyBorder="1" applyAlignment="1" applyProtection="1">
      <alignment horizontal="left"/>
      <protection locked="0"/>
    </xf>
    <xf numFmtId="0" fontId="14" fillId="13" borderId="22" xfId="0" applyFont="1" applyFill="1" applyBorder="1" applyAlignment="1" applyProtection="1">
      <alignment horizontal="left"/>
      <protection locked="0"/>
    </xf>
    <xf numFmtId="0" fontId="30" fillId="0" borderId="72" xfId="0" applyFont="1" applyBorder="1" applyAlignment="1" applyProtection="1">
      <alignment horizontal="center" vertical="center" wrapText="1"/>
      <protection hidden="1"/>
    </xf>
    <xf numFmtId="0" fontId="30" fillId="0" borderId="58" xfId="0" applyFont="1" applyBorder="1" applyAlignment="1" applyProtection="1">
      <alignment horizontal="center" vertical="center" wrapText="1"/>
      <protection hidden="1"/>
    </xf>
    <xf numFmtId="0" fontId="30" fillId="36" borderId="59" xfId="0" applyFont="1" applyFill="1" applyBorder="1" applyAlignment="1" applyProtection="1">
      <alignment horizontal="center" vertical="center" wrapText="1"/>
      <protection hidden="1"/>
    </xf>
    <xf numFmtId="0" fontId="30" fillId="36" borderId="60" xfId="0" applyFont="1" applyFill="1" applyBorder="1" applyAlignment="1" applyProtection="1">
      <alignment horizontal="center" vertical="center" wrapText="1"/>
      <protection hidden="1"/>
    </xf>
    <xf numFmtId="0" fontId="32" fillId="0" borderId="62" xfId="0" applyFont="1" applyBorder="1" applyAlignment="1" applyProtection="1">
      <alignment horizontal="center" vertical="center" wrapText="1"/>
      <protection hidden="1"/>
    </xf>
    <xf numFmtId="0" fontId="32" fillId="0" borderId="4" xfId="0" applyFont="1" applyBorder="1" applyAlignment="1" applyProtection="1">
      <alignment horizontal="center" vertical="center" wrapText="1"/>
      <protection hidden="1"/>
    </xf>
    <xf numFmtId="0" fontId="32" fillId="0" borderId="75" xfId="0" applyFont="1" applyBorder="1" applyAlignment="1" applyProtection="1">
      <alignment horizontal="center" vertical="center" wrapText="1"/>
      <protection hidden="1"/>
    </xf>
    <xf numFmtId="0" fontId="32" fillId="0" borderId="20" xfId="0" applyFont="1" applyBorder="1" applyAlignment="1" applyProtection="1">
      <alignment horizontal="center" vertical="center" wrapText="1"/>
      <protection hidden="1"/>
    </xf>
    <xf numFmtId="0" fontId="25" fillId="0" borderId="81" xfId="0" applyFont="1" applyBorder="1" applyAlignment="1" applyProtection="1">
      <alignment horizontal="center" vertical="center"/>
      <protection hidden="1"/>
    </xf>
    <xf numFmtId="0" fontId="25" fillId="0" borderId="82" xfId="0" applyFont="1" applyBorder="1" applyAlignment="1" applyProtection="1">
      <alignment horizontal="center" vertical="center"/>
      <protection hidden="1"/>
    </xf>
    <xf numFmtId="0" fontId="25" fillId="35" borderId="79" xfId="0" applyFont="1" applyFill="1" applyBorder="1" applyAlignment="1">
      <alignment horizontal="center" vertical="center" wrapText="1"/>
    </xf>
    <xf numFmtId="0" fontId="25" fillId="35" borderId="84" xfId="0" applyFont="1" applyFill="1" applyBorder="1" applyAlignment="1">
      <alignment horizontal="center" vertical="center" wrapText="1"/>
    </xf>
    <xf numFmtId="0" fontId="25" fillId="35" borderId="80" xfId="0" applyFont="1" applyFill="1" applyBorder="1" applyAlignment="1">
      <alignment horizontal="center" vertical="center" wrapText="1"/>
    </xf>
    <xf numFmtId="0" fontId="25" fillId="35" borderId="35" xfId="0" applyFont="1" applyFill="1" applyBorder="1" applyAlignment="1">
      <alignment horizontal="center" vertical="center" wrapText="1"/>
    </xf>
    <xf numFmtId="0" fontId="27" fillId="13" borderId="21" xfId="12" applyFont="1" applyFill="1" applyBorder="1" applyAlignment="1" applyProtection="1">
      <alignment horizontal="center" vertical="top" wrapText="1"/>
      <protection locked="0" hidden="1"/>
    </xf>
    <xf numFmtId="0" fontId="27" fillId="13" borderId="4" xfId="12" applyFont="1" applyFill="1" applyBorder="1" applyAlignment="1" applyProtection="1">
      <alignment horizontal="center" vertical="top" wrapText="1"/>
      <protection locked="0" hidden="1"/>
    </xf>
    <xf numFmtId="0" fontId="27" fillId="13" borderId="34" xfId="12" applyFont="1" applyFill="1" applyBorder="1" applyAlignment="1" applyProtection="1">
      <alignment horizontal="center" vertical="top" wrapText="1"/>
      <protection locked="0" hidden="1"/>
    </xf>
    <xf numFmtId="0" fontId="27" fillId="13" borderId="20" xfId="12" applyFont="1" applyFill="1" applyBorder="1" applyAlignment="1" applyProtection="1">
      <alignment horizontal="center" vertical="top" wrapText="1"/>
      <protection locked="0" hidden="1"/>
    </xf>
    <xf numFmtId="0" fontId="14" fillId="0" borderId="34" xfId="0" applyFont="1" applyBorder="1" applyAlignment="1" applyProtection="1">
      <alignment horizontal="center"/>
      <protection locked="0" hidden="1"/>
    </xf>
    <xf numFmtId="0" fontId="14" fillId="0" borderId="20" xfId="0" applyFont="1" applyBorder="1" applyAlignment="1" applyProtection="1">
      <alignment horizontal="center"/>
      <protection locked="0" hidden="1"/>
    </xf>
    <xf numFmtId="0" fontId="28" fillId="25" borderId="46" xfId="0" applyFont="1" applyFill="1" applyBorder="1" applyAlignment="1" applyProtection="1">
      <alignment horizontal="center" vertical="center"/>
      <protection hidden="1"/>
    </xf>
    <xf numFmtId="0" fontId="25" fillId="25" borderId="24" xfId="0" applyFont="1" applyFill="1" applyBorder="1" applyAlignment="1" applyProtection="1">
      <alignment horizontal="center" vertical="center"/>
      <protection hidden="1"/>
    </xf>
    <xf numFmtId="0" fontId="10" fillId="0" borderId="4" xfId="0" applyFont="1" applyBorder="1" applyAlignment="1" applyProtection="1">
      <alignment horizontal="center" vertical="center" wrapText="1"/>
      <protection hidden="1"/>
    </xf>
    <xf numFmtId="0" fontId="19" fillId="25" borderId="4" xfId="0" applyFont="1" applyFill="1" applyBorder="1" applyAlignment="1" applyProtection="1">
      <alignment horizontal="center" vertical="center"/>
      <protection hidden="1"/>
    </xf>
    <xf numFmtId="14" fontId="27" fillId="0" borderId="13" xfId="0" applyNumberFormat="1" applyFont="1" applyBorder="1" applyAlignment="1" applyProtection="1">
      <alignment horizontal="left"/>
      <protection locked="0"/>
    </xf>
    <xf numFmtId="0" fontId="27" fillId="0" borderId="13" xfId="0" applyFont="1" applyBorder="1" applyAlignment="1" applyProtection="1">
      <alignment horizontal="left"/>
      <protection locked="0"/>
    </xf>
    <xf numFmtId="0" fontId="14" fillId="0" borderId="41" xfId="0" applyFont="1" applyBorder="1" applyAlignment="1" applyProtection="1">
      <alignment horizontal="center"/>
      <protection hidden="1"/>
    </xf>
    <xf numFmtId="9" fontId="24" fillId="25" borderId="9" xfId="2" applyFont="1" applyFill="1" applyBorder="1" applyAlignment="1" applyProtection="1">
      <alignment horizontal="center" vertical="center"/>
      <protection hidden="1"/>
    </xf>
    <xf numFmtId="9" fontId="24" fillId="25" borderId="21" xfId="2" applyFont="1" applyFill="1" applyBorder="1" applyAlignment="1" applyProtection="1">
      <alignment horizontal="center" vertical="center"/>
      <protection hidden="1"/>
    </xf>
    <xf numFmtId="0" fontId="11" fillId="13" borderId="72" xfId="12" applyFont="1" applyFill="1" applyBorder="1" applyAlignment="1" applyProtection="1">
      <alignment horizontal="center" vertical="center" wrapText="1"/>
      <protection locked="0" hidden="1"/>
    </xf>
    <xf numFmtId="0" fontId="11" fillId="13" borderId="57" xfId="12" applyFont="1" applyFill="1" applyBorder="1" applyAlignment="1" applyProtection="1">
      <alignment horizontal="center" vertical="center" wrapText="1"/>
      <protection locked="0" hidden="1"/>
    </xf>
    <xf numFmtId="0" fontId="23" fillId="22" borderId="20" xfId="12" applyFont="1" applyBorder="1" applyAlignment="1" applyProtection="1">
      <alignment horizontal="center" vertical="center" wrapText="1"/>
      <protection hidden="1"/>
    </xf>
    <xf numFmtId="0" fontId="23" fillId="22" borderId="14" xfId="12" applyFont="1" applyBorder="1" applyAlignment="1" applyProtection="1">
      <alignment horizontal="center" vertical="center" wrapText="1"/>
      <protection hidden="1"/>
    </xf>
    <xf numFmtId="0" fontId="14" fillId="0" borderId="33" xfId="0" applyFont="1" applyBorder="1" applyAlignment="1" applyProtection="1">
      <alignment horizontal="center"/>
      <protection hidden="1"/>
    </xf>
    <xf numFmtId="0" fontId="23" fillId="22" borderId="30" xfId="12" applyFont="1" applyBorder="1" applyAlignment="1" applyProtection="1">
      <alignment horizontal="center" vertical="center" wrapText="1"/>
      <protection hidden="1"/>
    </xf>
    <xf numFmtId="0" fontId="23" fillId="22" borderId="34" xfId="12" applyFont="1" applyBorder="1" applyAlignment="1" applyProtection="1">
      <alignment horizontal="center" vertical="center" wrapText="1"/>
      <protection hidden="1"/>
    </xf>
    <xf numFmtId="0" fontId="23" fillId="22" borderId="31" xfId="12" applyFont="1" applyBorder="1" applyAlignment="1" applyProtection="1">
      <alignment horizontal="center" vertical="center" wrapText="1"/>
      <protection hidden="1"/>
    </xf>
    <xf numFmtId="0" fontId="23" fillId="22" borderId="35" xfId="12" applyFont="1" applyBorder="1" applyAlignment="1" applyProtection="1">
      <alignment horizontal="center" vertical="center" wrapText="1"/>
      <protection hidden="1"/>
    </xf>
    <xf numFmtId="0" fontId="27" fillId="13" borderId="0" xfId="12" applyFont="1" applyFill="1" applyBorder="1" applyAlignment="1" applyProtection="1">
      <alignment horizontal="center" vertical="top" wrapText="1"/>
      <protection locked="0" hidden="1"/>
    </xf>
    <xf numFmtId="0" fontId="25" fillId="12" borderId="4" xfId="0" applyFont="1" applyFill="1" applyBorder="1" applyAlignment="1" applyProtection="1">
      <alignment horizontal="center" vertical="center"/>
      <protection hidden="1"/>
    </xf>
    <xf numFmtId="0" fontId="47" fillId="0" borderId="0" xfId="0" applyFont="1" applyBorder="1" applyAlignment="1" applyProtection="1">
      <alignment horizontal="left" vertical="top" wrapText="1"/>
      <protection hidden="1"/>
    </xf>
    <xf numFmtId="9" fontId="27" fillId="0" borderId="38" xfId="2" applyFont="1" applyBorder="1" applyAlignment="1" applyProtection="1">
      <alignment horizontal="center" vertical="center"/>
      <protection locked="0"/>
    </xf>
    <xf numFmtId="9" fontId="27" fillId="0" borderId="39" xfId="2" applyFont="1" applyBorder="1" applyAlignment="1" applyProtection="1">
      <alignment horizontal="center" vertical="center"/>
      <protection locked="0"/>
    </xf>
    <xf numFmtId="9" fontId="27" fillId="0" borderId="40" xfId="2" applyFont="1" applyBorder="1" applyAlignment="1" applyProtection="1">
      <alignment horizontal="center" vertical="center"/>
      <protection locked="0"/>
    </xf>
    <xf numFmtId="165" fontId="27" fillId="0" borderId="37" xfId="1" applyFont="1" applyBorder="1" applyAlignment="1" applyProtection="1">
      <alignment horizontal="center" vertical="center"/>
      <protection locked="0"/>
    </xf>
    <xf numFmtId="0" fontId="14" fillId="0" borderId="0" xfId="0" applyFont="1" applyAlignment="1" applyProtection="1">
      <alignment horizontal="left" wrapText="1"/>
      <protection hidden="1"/>
    </xf>
    <xf numFmtId="0" fontId="25" fillId="0" borderId="0" xfId="0" applyFont="1" applyAlignment="1" applyProtection="1">
      <alignment horizontal="left"/>
      <protection hidden="1"/>
    </xf>
    <xf numFmtId="0" fontId="36" fillId="0" borderId="0" xfId="0" applyFont="1" applyAlignment="1" applyProtection="1">
      <alignment horizontal="left" vertical="center" wrapText="1"/>
      <protection hidden="1"/>
    </xf>
    <xf numFmtId="0" fontId="36" fillId="0" borderId="0" xfId="0" applyFont="1" applyAlignment="1" applyProtection="1">
      <alignment horizontal="left" wrapText="1"/>
      <protection hidden="1"/>
    </xf>
    <xf numFmtId="0" fontId="48" fillId="12" borderId="16" xfId="8" applyFont="1" applyFill="1" applyBorder="1" applyAlignment="1" applyProtection="1">
      <alignment horizontal="center" vertical="center" textRotation="90" wrapText="1"/>
    </xf>
    <xf numFmtId="0" fontId="9" fillId="12" borderId="4" xfId="8" applyFont="1" applyFill="1" applyBorder="1" applyAlignment="1" applyProtection="1">
      <alignment vertical="center" wrapText="1"/>
    </xf>
    <xf numFmtId="0" fontId="48" fillId="6" borderId="168" xfId="8" applyFont="1" applyFill="1" applyBorder="1" applyAlignment="1" applyProtection="1">
      <alignment horizontal="center" vertical="center" textRotation="90" wrapText="1"/>
    </xf>
    <xf numFmtId="0" fontId="48" fillId="6" borderId="46" xfId="8" applyFont="1" applyFill="1" applyBorder="1" applyAlignment="1" applyProtection="1">
      <alignment horizontal="center" vertical="center" textRotation="90" wrapText="1"/>
    </xf>
    <xf numFmtId="0" fontId="9" fillId="6" borderId="167" xfId="8" applyFont="1" applyFill="1" applyBorder="1" applyAlignment="1" applyProtection="1">
      <alignment horizontal="center" vertical="center" wrapText="1"/>
    </xf>
    <xf numFmtId="0" fontId="9" fillId="6" borderId="24" xfId="8" applyFont="1" applyFill="1" applyBorder="1" applyAlignment="1" applyProtection="1">
      <alignment horizontal="center" vertical="center" wrapText="1"/>
    </xf>
    <xf numFmtId="0" fontId="9" fillId="6" borderId="47" xfId="8" applyFont="1" applyFill="1" applyBorder="1" applyAlignment="1" applyProtection="1">
      <alignment horizontal="center" vertical="center" wrapText="1"/>
    </xf>
    <xf numFmtId="0" fontId="27" fillId="14" borderId="169" xfId="5" applyFont="1" applyFill="1" applyBorder="1" applyAlignment="1">
      <alignment horizontal="center" vertical="center"/>
    </xf>
    <xf numFmtId="0" fontId="27" fillId="14" borderId="0" xfId="5" applyFont="1" applyFill="1" applyAlignment="1">
      <alignment horizontal="center" vertical="center"/>
    </xf>
    <xf numFmtId="0" fontId="50" fillId="0" borderId="0" xfId="5" applyFont="1" applyAlignment="1" applyProtection="1">
      <alignment horizontal="left" vertical="center" wrapText="1"/>
      <protection locked="0"/>
    </xf>
    <xf numFmtId="0" fontId="25" fillId="13" borderId="0" xfId="0" applyFont="1" applyFill="1" applyAlignment="1">
      <alignment horizontal="center"/>
    </xf>
    <xf numFmtId="167" fontId="28" fillId="16" borderId="4" xfId="4" applyNumberFormat="1" applyFont="1" applyFill="1" applyBorder="1" applyAlignment="1" applyProtection="1">
      <alignment horizontal="center" vertical="center"/>
    </xf>
    <xf numFmtId="167" fontId="27" fillId="16" borderId="9" xfId="4" applyNumberFormat="1" applyFont="1" applyFill="1" applyBorder="1" applyAlignment="1" applyProtection="1">
      <alignment horizontal="center" vertical="center"/>
    </xf>
    <xf numFmtId="167" fontId="27" fillId="16" borderId="13" xfId="4" applyNumberFormat="1" applyFont="1" applyFill="1" applyBorder="1" applyAlignment="1" applyProtection="1">
      <alignment horizontal="center" vertical="center"/>
    </xf>
    <xf numFmtId="167" fontId="27" fillId="16" borderId="21" xfId="4" applyNumberFormat="1" applyFont="1" applyFill="1" applyBorder="1" applyAlignment="1" applyProtection="1">
      <alignment horizontal="center" vertical="center"/>
    </xf>
    <xf numFmtId="167" fontId="28" fillId="30" borderId="4" xfId="4" applyNumberFormat="1" applyFont="1" applyFill="1" applyBorder="1" applyAlignment="1" applyProtection="1">
      <alignment horizontal="center" vertical="center"/>
    </xf>
    <xf numFmtId="167" fontId="28" fillId="20" borderId="4" xfId="4" applyNumberFormat="1" applyFont="1" applyFill="1" applyBorder="1" applyAlignment="1" applyProtection="1">
      <alignment horizontal="center" vertical="center"/>
    </xf>
    <xf numFmtId="9" fontId="51" fillId="21" borderId="4" xfId="2" applyFont="1" applyFill="1" applyBorder="1" applyAlignment="1" applyProtection="1">
      <alignment horizontal="center" vertical="center"/>
    </xf>
    <xf numFmtId="0" fontId="30" fillId="5" borderId="9" xfId="9" applyFont="1" applyFill="1" applyBorder="1" applyAlignment="1">
      <alignment horizontal="center" vertical="center" wrapText="1"/>
    </xf>
    <xf numFmtId="0" fontId="30" fillId="5" borderId="13" xfId="9" applyFont="1" applyFill="1" applyBorder="1" applyAlignment="1">
      <alignment horizontal="center" vertical="center" wrapText="1"/>
    </xf>
    <xf numFmtId="0" fontId="30" fillId="5" borderId="21" xfId="9" applyFont="1" applyFill="1" applyBorder="1" applyAlignment="1">
      <alignment horizontal="center" vertical="center" wrapText="1"/>
    </xf>
    <xf numFmtId="0" fontId="27" fillId="15" borderId="169" xfId="5" applyFont="1" applyFill="1" applyBorder="1" applyAlignment="1">
      <alignment horizontal="center" vertical="center"/>
    </xf>
    <xf numFmtId="0" fontId="27" fillId="15" borderId="0" xfId="5" applyFont="1" applyFill="1" applyAlignment="1">
      <alignment horizontal="center" vertical="center"/>
    </xf>
    <xf numFmtId="0" fontId="27" fillId="15" borderId="33" xfId="5" applyFont="1" applyFill="1" applyBorder="1" applyAlignment="1">
      <alignment horizontal="center" vertical="center"/>
    </xf>
    <xf numFmtId="0" fontId="47" fillId="8" borderId="165" xfId="0" applyFont="1" applyFill="1" applyBorder="1" applyAlignment="1">
      <alignment horizontal="left" vertical="center" wrapText="1"/>
    </xf>
    <xf numFmtId="0" fontId="47" fillId="8" borderId="31" xfId="0" applyFont="1" applyFill="1" applyBorder="1" applyAlignment="1">
      <alignment horizontal="left" vertical="center" wrapText="1"/>
    </xf>
    <xf numFmtId="0" fontId="9" fillId="8" borderId="4" xfId="8" applyFont="1" applyFill="1" applyBorder="1" applyAlignment="1" applyProtection="1">
      <alignment vertical="center" wrapText="1"/>
    </xf>
    <xf numFmtId="0" fontId="46" fillId="11" borderId="29" xfId="8" applyFont="1" applyFill="1" applyBorder="1" applyAlignment="1" applyProtection="1">
      <alignment horizontal="center" vertical="center" textRotation="90" wrapText="1"/>
    </xf>
    <xf numFmtId="0" fontId="46" fillId="11" borderId="51" xfId="8" applyFont="1" applyFill="1" applyBorder="1" applyAlignment="1" applyProtection="1">
      <alignment horizontal="center" vertical="center" textRotation="90" wrapText="1"/>
    </xf>
    <xf numFmtId="0" fontId="46" fillId="11" borderId="49" xfId="8" applyFont="1" applyFill="1" applyBorder="1" applyAlignment="1" applyProtection="1">
      <alignment horizontal="center" vertical="center" textRotation="90" wrapText="1"/>
    </xf>
    <xf numFmtId="0" fontId="9" fillId="11" borderId="167" xfId="8" applyFont="1" applyFill="1" applyBorder="1" applyAlignment="1" applyProtection="1">
      <alignment horizontal="center" vertical="center" wrapText="1"/>
    </xf>
    <xf numFmtId="0" fontId="9" fillId="11" borderId="24" xfId="8" applyFont="1" applyFill="1" applyBorder="1" applyAlignment="1" applyProtection="1">
      <alignment horizontal="center" vertical="center" wrapText="1"/>
    </xf>
    <xf numFmtId="0" fontId="9" fillId="11" borderId="14" xfId="8" applyFont="1" applyFill="1" applyBorder="1" applyAlignment="1" applyProtection="1">
      <alignment horizontal="center" vertical="center" wrapText="1"/>
    </xf>
    <xf numFmtId="0" fontId="9" fillId="11" borderId="4" xfId="8" applyFont="1" applyFill="1" applyBorder="1" applyAlignment="1" applyProtection="1">
      <alignment vertical="center" wrapText="1"/>
    </xf>
    <xf numFmtId="0" fontId="47" fillId="18" borderId="165" xfId="0" applyFont="1" applyFill="1" applyBorder="1" applyAlignment="1">
      <alignment horizontal="left" vertical="center" wrapText="1"/>
    </xf>
    <xf numFmtId="0" fontId="47" fillId="18" borderId="31" xfId="0" applyFont="1" applyFill="1" applyBorder="1" applyAlignment="1">
      <alignment horizontal="left" vertical="center" wrapText="1"/>
    </xf>
    <xf numFmtId="0" fontId="48" fillId="8" borderId="16" xfId="8" applyFont="1" applyFill="1" applyBorder="1" applyAlignment="1" applyProtection="1">
      <alignment horizontal="center" vertical="center" textRotation="90" wrapText="1"/>
    </xf>
    <xf numFmtId="167" fontId="17" fillId="9" borderId="19" xfId="4" applyNumberFormat="1" applyFont="1" applyFill="1" applyBorder="1" applyAlignment="1" applyProtection="1">
      <alignment horizontal="center" vertical="center"/>
      <protection hidden="1"/>
    </xf>
    <xf numFmtId="165" fontId="11" fillId="5" borderId="169" xfId="2" applyNumberFormat="1" applyFont="1" applyFill="1" applyBorder="1" applyAlignment="1" applyProtection="1">
      <alignment horizontal="center" vertical="center"/>
      <protection hidden="1"/>
    </xf>
    <xf numFmtId="165" fontId="11" fillId="5" borderId="166" xfId="2" applyNumberFormat="1" applyFont="1" applyFill="1" applyBorder="1" applyAlignment="1" applyProtection="1">
      <alignment horizontal="center" vertical="center"/>
      <protection hidden="1"/>
    </xf>
    <xf numFmtId="0" fontId="43" fillId="13" borderId="102" xfId="5" applyFont="1" applyFill="1" applyBorder="1" applyAlignment="1">
      <alignment horizontal="center" vertical="center"/>
    </xf>
    <xf numFmtId="0" fontId="43" fillId="13" borderId="0" xfId="5" applyFont="1" applyFill="1" applyAlignment="1">
      <alignment horizontal="center" vertical="center"/>
    </xf>
    <xf numFmtId="0" fontId="43" fillId="13" borderId="33" xfId="5" applyFont="1" applyFill="1" applyBorder="1" applyAlignment="1">
      <alignment horizontal="center" vertical="center"/>
    </xf>
    <xf numFmtId="41" fontId="10" fillId="5" borderId="19" xfId="3" applyNumberFormat="1" applyFont="1" applyFill="1" applyBorder="1" applyAlignment="1" applyProtection="1">
      <alignment horizontal="center" vertical="center" wrapText="1"/>
      <protection hidden="1"/>
    </xf>
    <xf numFmtId="0" fontId="10" fillId="5" borderId="19" xfId="3" applyFont="1" applyFill="1" applyBorder="1" applyAlignment="1" applyProtection="1">
      <alignment horizontal="center" vertical="center" wrapText="1"/>
      <protection hidden="1"/>
    </xf>
    <xf numFmtId="0" fontId="10" fillId="5" borderId="0" xfId="3" applyFont="1" applyFill="1" applyBorder="1" applyAlignment="1" applyProtection="1">
      <alignment horizontal="center" vertical="center" wrapText="1"/>
      <protection hidden="1"/>
    </xf>
    <xf numFmtId="0" fontId="10" fillId="5" borderId="26" xfId="3" applyFont="1" applyFill="1" applyBorder="1" applyAlignment="1" applyProtection="1">
      <alignment horizontal="center" vertical="center" wrapText="1"/>
      <protection hidden="1"/>
    </xf>
    <xf numFmtId="0" fontId="10" fillId="5" borderId="13" xfId="3" applyFont="1" applyFill="1" applyBorder="1" applyAlignment="1" applyProtection="1">
      <alignment horizontal="center" vertical="center" wrapText="1"/>
      <protection hidden="1"/>
    </xf>
    <xf numFmtId="0" fontId="10" fillId="5" borderId="86" xfId="3" applyFont="1" applyFill="1" applyBorder="1" applyAlignment="1" applyProtection="1">
      <alignment horizontal="center" vertical="center" wrapText="1"/>
      <protection hidden="1"/>
    </xf>
    <xf numFmtId="0" fontId="10" fillId="5" borderId="21" xfId="3" applyFont="1" applyFill="1" applyBorder="1" applyAlignment="1" applyProtection="1">
      <alignment horizontal="center" vertical="center" wrapText="1"/>
      <protection hidden="1"/>
    </xf>
    <xf numFmtId="165" fontId="11" fillId="5" borderId="13" xfId="2" applyNumberFormat="1" applyFont="1" applyFill="1" applyBorder="1" applyAlignment="1" applyProtection="1">
      <alignment horizontal="center" vertical="center"/>
      <protection hidden="1"/>
    </xf>
    <xf numFmtId="165" fontId="11" fillId="5" borderId="86" xfId="2" applyNumberFormat="1" applyFont="1" applyFill="1" applyBorder="1" applyAlignment="1" applyProtection="1">
      <alignment horizontal="center" vertical="center"/>
      <protection hidden="1"/>
    </xf>
    <xf numFmtId="9" fontId="43" fillId="5" borderId="13" xfId="2" applyFont="1" applyFill="1" applyBorder="1" applyAlignment="1" applyProtection="1">
      <alignment horizontal="center" vertical="center"/>
      <protection hidden="1"/>
    </xf>
    <xf numFmtId="9" fontId="43" fillId="5" borderId="86" xfId="2" applyFont="1" applyFill="1" applyBorder="1" applyAlignment="1" applyProtection="1">
      <alignment horizontal="center" vertical="center"/>
      <protection hidden="1"/>
    </xf>
    <xf numFmtId="185" fontId="11" fillId="20" borderId="13" xfId="6" applyNumberFormat="1" applyFont="1" applyFill="1" applyBorder="1" applyAlignment="1" applyProtection="1">
      <alignment horizontal="center" vertical="center" wrapText="1"/>
      <protection hidden="1"/>
    </xf>
    <xf numFmtId="185" fontId="11" fillId="20" borderId="86" xfId="6" applyNumberFormat="1" applyFont="1" applyFill="1" applyBorder="1" applyAlignment="1" applyProtection="1">
      <alignment horizontal="center" vertical="center" wrapText="1"/>
      <protection hidden="1"/>
    </xf>
    <xf numFmtId="167" fontId="43" fillId="9" borderId="19" xfId="4" applyNumberFormat="1" applyFont="1" applyFill="1" applyBorder="1" applyAlignment="1" applyProtection="1">
      <alignment horizontal="center" vertical="center"/>
      <protection hidden="1"/>
    </xf>
    <xf numFmtId="0" fontId="47" fillId="20" borderId="0" xfId="0" applyFont="1" applyFill="1" applyAlignment="1" applyProtection="1">
      <alignment vertical="center"/>
      <protection hidden="1"/>
    </xf>
    <xf numFmtId="0" fontId="77" fillId="20" borderId="4" xfId="0" applyFont="1" applyFill="1" applyBorder="1" applyAlignment="1" applyProtection="1">
      <alignment horizontal="center" vertical="center" wrapText="1"/>
      <protection hidden="1"/>
    </xf>
  </cellXfs>
  <cellStyles count="38">
    <cellStyle name="40% - Énfasis2" xfId="22" builtinId="35"/>
    <cellStyle name="40% - Énfasis4" xfId="23" builtinId="43"/>
    <cellStyle name="60% - Énfasis3 2" xfId="33"/>
    <cellStyle name="Bueno" xfId="36" builtinId="26"/>
    <cellStyle name="Énfasis1" xfId="12" builtinId="29"/>
    <cellStyle name="Énfasis2" xfId="13" builtinId="33"/>
    <cellStyle name="Hipervínculo" xfId="16" builtinId="8"/>
    <cellStyle name="Incorrecto" xfId="20" builtinId="27"/>
    <cellStyle name="Incorrecto 2" xfId="8"/>
    <cellStyle name="Millares" xfId="18" builtinId="3"/>
    <cellStyle name="Millares [0]" xfId="19" builtinId="6"/>
    <cellStyle name="Millares 2 2" xfId="27"/>
    <cellStyle name="Millares 4" xfId="4"/>
    <cellStyle name="Millares 4 2" xfId="24"/>
    <cellStyle name="Millares 5" xfId="6"/>
    <cellStyle name="Moneda" xfId="1" builtinId="4"/>
    <cellStyle name="Moneda [0]" xfId="37" builtinId="7"/>
    <cellStyle name="Moneda 2" xfId="14"/>
    <cellStyle name="Moneda 2 2" xfId="26"/>
    <cellStyle name="Moneda 3" xfId="15"/>
    <cellStyle name="Moneda 4" xfId="17"/>
    <cellStyle name="Neutral 2" xfId="32"/>
    <cellStyle name="Normal" xfId="0" builtinId="0"/>
    <cellStyle name="Normal 2" xfId="11"/>
    <cellStyle name="Normal 2 2 2" xfId="28"/>
    <cellStyle name="Normal 3 2" xfId="30"/>
    <cellStyle name="Normal 5" xfId="5"/>
    <cellStyle name="Normal 6 2" xfId="29"/>
    <cellStyle name="Normal 7" xfId="9"/>
    <cellStyle name="Normal_Hoja1" xfId="10"/>
    <cellStyle name="Notas" xfId="21" builtinId="10"/>
    <cellStyle name="Note" xfId="3"/>
    <cellStyle name="Note 2 2 10" xfId="25"/>
    <cellStyle name="Note 2 7 2 2" xfId="34"/>
    <cellStyle name="Note 3" xfId="35"/>
    <cellStyle name="Porcentaje" xfId="2" builtinId="5"/>
    <cellStyle name="Porcentaje 2" xfId="7"/>
    <cellStyle name="Porcentual 4" xfId="31"/>
  </cellStyles>
  <dxfs count="375">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ont>
        <color rgb="FFFF0000"/>
      </font>
    </dxf>
    <dxf>
      <font>
        <color rgb="FFFF0000"/>
      </font>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CEE193"/>
        </patternFill>
      </fill>
    </dxf>
    <dxf>
      <fill>
        <patternFill>
          <bgColor rgb="FFFABA86"/>
        </patternFill>
      </fill>
    </dxf>
    <dxf>
      <font>
        <b/>
        <i val="0"/>
        <color theme="0"/>
      </font>
      <fill>
        <patternFill>
          <bgColor rgb="FFFF0000"/>
        </patternFill>
      </fill>
    </dxf>
    <dxf>
      <font>
        <b/>
        <i val="0"/>
      </font>
      <fill>
        <patternFill>
          <bgColor rgb="FFFFFF00"/>
        </patternFill>
      </fill>
    </dxf>
    <dxf>
      <font>
        <b/>
        <i val="0"/>
      </font>
      <fill>
        <patternFill>
          <bgColor rgb="FF92D05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numFmt numFmtId="30" formatCode="@"/>
      <fill>
        <patternFill>
          <bgColor rgb="FF00FF00"/>
        </patternFill>
      </fill>
    </dxf>
    <dxf>
      <numFmt numFmtId="30" formatCode="@"/>
      <fill>
        <patternFill>
          <bgColor rgb="FFFF0000"/>
        </patternFill>
      </fill>
    </dxf>
    <dxf>
      <numFmt numFmtId="30" formatCode="@"/>
      <fill>
        <patternFill>
          <bgColor rgb="FF00FF00"/>
        </patternFill>
      </fill>
    </dxf>
    <dxf>
      <numFmt numFmtId="30" formatCode="@"/>
      <fill>
        <patternFill>
          <bgColor rgb="FFFF0000"/>
        </patternFill>
      </fill>
    </dxf>
    <dxf>
      <fill>
        <patternFill>
          <bgColor rgb="FFFF0000"/>
        </patternFill>
      </fill>
    </dxf>
    <dxf>
      <fill>
        <patternFill>
          <bgColor rgb="FF05ED1B"/>
        </patternFill>
      </fill>
    </dxf>
    <dxf>
      <fill>
        <patternFill>
          <bgColor rgb="FFFF0000"/>
        </patternFill>
      </fill>
    </dxf>
    <dxf>
      <fill>
        <patternFill>
          <bgColor indexed="11"/>
        </patternFill>
      </fill>
    </dxf>
    <dxf>
      <font>
        <b val="0"/>
        <i val="0"/>
        <strike val="0"/>
        <color theme="0"/>
      </font>
      <fill>
        <patternFill>
          <bgColor theme="1"/>
        </patternFill>
      </fill>
    </dxf>
    <dxf>
      <fill>
        <patternFill>
          <bgColor theme="9"/>
        </patternFill>
      </fill>
    </dxf>
    <dxf>
      <fill>
        <patternFill>
          <bgColor rgb="FFC00000"/>
        </patternFill>
      </fill>
    </dxf>
    <dxf>
      <fill>
        <patternFill>
          <bgColor theme="9"/>
        </patternFill>
      </fill>
    </dxf>
    <dxf>
      <fill>
        <patternFill>
          <bgColor rgb="FFC00000"/>
        </patternFill>
      </fill>
    </dxf>
    <dxf>
      <fill>
        <patternFill>
          <bgColor rgb="FFFFFF00"/>
        </patternFill>
      </fill>
    </dxf>
    <dxf>
      <fill>
        <patternFill>
          <bgColor rgb="FFC00000"/>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theme="9"/>
        </patternFill>
      </fill>
    </dxf>
    <dxf>
      <fill>
        <patternFill>
          <bgColor rgb="FFC00000"/>
        </patternFill>
      </fill>
    </dxf>
    <dxf>
      <fill>
        <patternFill>
          <bgColor rgb="FFC00000"/>
        </patternFill>
      </fill>
    </dxf>
    <dxf>
      <fill>
        <patternFill>
          <bgColor theme="9"/>
        </patternFill>
      </fill>
    </dxf>
    <dxf>
      <fill>
        <patternFill>
          <bgColor rgb="FF92D050"/>
        </patternFill>
      </fill>
    </dxf>
    <dxf>
      <fill>
        <patternFill>
          <bgColor rgb="FFFFFF00"/>
        </patternFill>
      </fill>
    </dxf>
    <dxf>
      <font>
        <color rgb="FF9C0006"/>
      </font>
      <fill>
        <patternFill>
          <bgColor rgb="FFFFC7CE"/>
        </patternFill>
      </fill>
    </dxf>
    <dxf>
      <fill>
        <patternFill>
          <fgColor rgb="FF92D050"/>
          <bgColor rgb="FF92D050"/>
        </patternFill>
      </fill>
    </dxf>
    <dxf>
      <font>
        <b val="0"/>
        <i val="0"/>
        <strike val="0"/>
        <color theme="0"/>
      </font>
      <fill>
        <patternFill>
          <bgColor theme="1"/>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ill>
        <patternFill>
          <bgColor rgb="FF92D050"/>
        </patternFill>
      </fill>
    </dxf>
    <dxf>
      <fill>
        <patternFill>
          <bgColor rgb="FFFFFF00"/>
        </patternFill>
      </fill>
    </dxf>
    <dxf>
      <font>
        <color theme="0"/>
      </font>
      <fill>
        <patternFill>
          <bgColor rgb="FFFF0000"/>
        </patternFill>
      </fill>
    </dxf>
    <dxf>
      <font>
        <color theme="0"/>
      </font>
      <fill>
        <patternFill>
          <bgColor rgb="FF002060"/>
        </patternFill>
      </fill>
    </dxf>
    <dxf>
      <font>
        <b val="0"/>
        <i val="0"/>
        <strike val="0"/>
        <color theme="0"/>
      </font>
      <fill>
        <patternFill>
          <bgColor theme="1"/>
        </patternFill>
      </fill>
    </dxf>
    <dxf>
      <fill>
        <patternFill patternType="none">
          <bgColor auto="1"/>
        </patternFill>
      </fill>
    </dxf>
    <dxf>
      <fill>
        <patternFill patternType="none">
          <bgColor auto="1"/>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auto="1"/>
      </font>
      <fill>
        <patternFill>
          <bgColor rgb="FF92D050"/>
        </patternFill>
      </fill>
    </dxf>
    <dxf>
      <font>
        <color auto="1"/>
      </font>
      <fill>
        <patternFill>
          <bgColor rgb="FFFFFF00"/>
        </patternFill>
      </fill>
    </dxf>
    <dxf>
      <font>
        <b/>
        <i val="0"/>
        <color theme="0"/>
      </font>
      <fill>
        <patternFill>
          <bgColor rgb="FFFF0000"/>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auto="1"/>
      </font>
    </dxf>
    <dxf>
      <font>
        <color auto="1"/>
      </font>
    </dxf>
    <dxf>
      <font>
        <color auto="1"/>
      </font>
      <fill>
        <patternFill>
          <bgColor rgb="FF92D050"/>
        </patternFill>
      </fill>
    </dxf>
    <dxf>
      <font>
        <color auto="1"/>
      </font>
    </dxf>
    <dxf>
      <font>
        <color theme="0"/>
      </font>
      <fill>
        <patternFill>
          <bgColor rgb="FFFF0000"/>
        </patternFill>
      </fill>
    </dxf>
    <dxf>
      <font>
        <color theme="1"/>
      </font>
      <fill>
        <patternFill>
          <bgColor rgb="FF92D050"/>
        </patternFill>
      </fill>
    </dxf>
    <dxf>
      <font>
        <color theme="1"/>
      </font>
      <fill>
        <patternFill>
          <bgColor rgb="FFFF0000"/>
        </patternFill>
      </fill>
    </dxf>
    <dxf>
      <font>
        <color theme="0"/>
      </font>
    </dxf>
    <dxf>
      <font>
        <color auto="1"/>
      </font>
      <fill>
        <patternFill>
          <bgColor rgb="FF92D050"/>
        </patternFill>
      </fill>
    </dxf>
    <dxf>
      <font>
        <color auto="1"/>
      </font>
      <fill>
        <patternFill>
          <bgColor rgb="FF92D050"/>
        </patternFill>
      </fill>
    </dxf>
    <dxf>
      <font>
        <color auto="1"/>
      </font>
      <fill>
        <patternFill>
          <bgColor rgb="FFFFFF00"/>
        </patternFill>
      </fill>
    </dxf>
    <dxf>
      <font>
        <b val="0"/>
        <i/>
        <color theme="0"/>
      </font>
      <fill>
        <patternFill>
          <bgColor rgb="FFFF0000"/>
        </patternFill>
      </fill>
    </dxf>
    <dxf>
      <font>
        <b/>
        <i val="0"/>
      </font>
    </dxf>
    <dxf>
      <font>
        <b/>
        <i val="0"/>
        <color auto="1"/>
      </font>
      <fill>
        <patternFill>
          <bgColor rgb="FF92D050"/>
        </patternFill>
      </fill>
    </dxf>
    <dxf>
      <font>
        <b/>
        <i val="0"/>
      </font>
    </dxf>
    <dxf>
      <font>
        <color auto="1"/>
      </font>
      <fill>
        <patternFill>
          <bgColor rgb="FF92D050"/>
        </patternFill>
      </fill>
    </dxf>
    <dxf>
      <font>
        <color theme="1"/>
      </font>
      <fill>
        <patternFill>
          <bgColor rgb="FFFFFF00"/>
        </patternFill>
      </fill>
    </dxf>
    <dxf>
      <font>
        <color auto="1"/>
      </font>
      <fill>
        <patternFill>
          <bgColor rgb="FF92D050"/>
        </patternFill>
      </fill>
    </dxf>
    <dxf>
      <font>
        <color auto="1"/>
      </font>
      <fill>
        <patternFill>
          <bgColor rgb="FFFFFF00"/>
        </patternFill>
      </fill>
    </dxf>
    <dxf>
      <font>
        <b/>
        <i val="0"/>
        <color auto="1"/>
      </font>
      <fill>
        <patternFill>
          <bgColor rgb="FFFF0000"/>
        </patternFill>
      </fill>
    </dxf>
    <dxf>
      <font>
        <b/>
        <i val="0"/>
        <color theme="0"/>
      </font>
      <fill>
        <patternFill>
          <bgColor rgb="FFFF0000"/>
        </patternFill>
      </fill>
    </dxf>
    <dxf>
      <font>
        <color auto="1"/>
      </font>
      <fill>
        <patternFill>
          <bgColor rgb="FF92D050"/>
        </patternFill>
      </fill>
    </dxf>
    <dxf>
      <font>
        <color auto="1"/>
      </font>
      <fill>
        <patternFill>
          <bgColor rgb="FF92D050"/>
        </patternFill>
      </fill>
    </dxf>
    <dxf>
      <font>
        <color auto="1"/>
      </font>
      <fill>
        <patternFill>
          <bgColor rgb="FFFFFF00"/>
        </patternFill>
      </fill>
    </dxf>
    <dxf>
      <font>
        <b val="0"/>
        <i/>
        <color theme="0"/>
      </font>
      <fill>
        <patternFill>
          <bgColor rgb="FFFF0000"/>
        </patternFill>
      </fill>
    </dxf>
    <dxf>
      <font>
        <b/>
        <i val="0"/>
      </font>
    </dxf>
    <dxf>
      <font>
        <b/>
        <i val="0"/>
        <color auto="1"/>
      </font>
      <fill>
        <patternFill>
          <bgColor rgb="FF92D050"/>
        </patternFill>
      </fill>
    </dxf>
    <dxf>
      <font>
        <b/>
        <i val="0"/>
      </font>
    </dxf>
    <dxf>
      <font>
        <color auto="1"/>
      </font>
      <fill>
        <patternFill>
          <bgColor rgb="FF92D050"/>
        </patternFill>
      </fill>
    </dxf>
    <dxf>
      <font>
        <color theme="1"/>
      </font>
      <fill>
        <patternFill>
          <bgColor rgb="FFFFFF00"/>
        </patternFill>
      </fill>
    </dxf>
    <dxf>
      <font>
        <color rgb="FF006100"/>
      </font>
      <fill>
        <patternFill>
          <bgColor rgb="FFC6EFCE"/>
        </patternFill>
      </fill>
    </dxf>
    <dxf>
      <fill>
        <patternFill>
          <bgColor rgb="FFFFC7CE"/>
        </patternFill>
      </fill>
    </dxf>
    <dxf>
      <font>
        <color rgb="FF9C5700"/>
      </font>
      <fill>
        <patternFill>
          <bgColor rgb="FFFFEB9C"/>
        </patternFill>
      </fill>
    </dxf>
    <dxf>
      <font>
        <color rgb="FF9C0006"/>
      </font>
      <fill>
        <patternFill>
          <bgColor rgb="FFFFC7CE"/>
        </patternFill>
      </fill>
    </dxf>
    <dxf>
      <fill>
        <patternFill>
          <bgColor rgb="FFFFFF00"/>
        </patternFill>
      </fill>
    </dxf>
    <dxf>
      <font>
        <color auto="1"/>
      </font>
    </dxf>
    <dxf>
      <font>
        <color auto="1"/>
      </font>
    </dxf>
    <dxf>
      <font>
        <color auto="1"/>
      </font>
      <fill>
        <patternFill>
          <bgColor rgb="FF92D050"/>
        </patternFill>
      </fill>
    </dxf>
    <dxf>
      <font>
        <color auto="1"/>
      </font>
    </dxf>
    <dxf>
      <font>
        <color theme="0"/>
      </font>
      <fill>
        <patternFill>
          <bgColor rgb="FFFF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b/>
        <i val="0"/>
        <color theme="0" tint="-4.9989318521683403E-2"/>
        <name val="Calibri Light"/>
        <scheme val="none"/>
      </font>
      <fill>
        <patternFill>
          <bgColor rgb="FFC00000"/>
        </patternFill>
      </fill>
    </dxf>
    <dxf>
      <fill>
        <patternFill>
          <bgColor rgb="FF00FF00"/>
        </patternFill>
      </fill>
    </dxf>
    <dxf>
      <fill>
        <patternFill>
          <bgColor rgb="FFFFFF00"/>
        </patternFill>
      </fill>
    </dxf>
    <dxf>
      <fill>
        <patternFill>
          <bgColor rgb="FF00FF00"/>
        </patternFill>
      </fill>
    </dxf>
    <dxf>
      <fill>
        <patternFill>
          <bgColor rgb="FFFFFF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ill>
        <patternFill>
          <bgColor rgb="FFFF0000"/>
        </patternFill>
      </fill>
    </dxf>
    <dxf>
      <fill>
        <patternFill>
          <bgColor rgb="FF00B050"/>
        </patternFill>
      </fill>
    </dxf>
    <dxf>
      <fill>
        <patternFill>
          <bgColor rgb="FFFF0000"/>
        </patternFill>
      </fill>
    </dxf>
    <dxf>
      <fill>
        <patternFill>
          <bgColor rgb="FF66FF33"/>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val="0"/>
        <i val="0"/>
        <strike val="0"/>
        <color theme="0"/>
      </font>
      <fill>
        <patternFill>
          <bgColor theme="1"/>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strike val="0"/>
        <color theme="1"/>
      </font>
      <fill>
        <patternFill>
          <bgColor rgb="FF92D050"/>
        </patternFill>
      </fill>
    </dxf>
    <dxf>
      <font>
        <strike val="0"/>
        <color theme="1"/>
      </font>
      <fill>
        <patternFill>
          <bgColor rgb="FFFFFF00"/>
        </patternFill>
      </fill>
    </dxf>
    <dxf>
      <font>
        <strike val="0"/>
        <color auto="1"/>
      </font>
      <fill>
        <patternFill>
          <bgColor rgb="FFFF0000"/>
        </patternFill>
      </fill>
    </dxf>
    <dxf>
      <font>
        <b/>
        <i val="0"/>
        <color theme="2" tint="-9.9948118533890809E-2"/>
      </font>
      <fill>
        <patternFill>
          <bgColor rgb="FFD20000"/>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ont>
        <b val="0"/>
        <i val="0"/>
        <strike val="0"/>
        <color theme="0"/>
      </font>
      <fill>
        <patternFill>
          <bgColor theme="1"/>
        </patternFill>
      </fill>
    </dxf>
    <dxf>
      <font>
        <strike val="0"/>
        <color theme="1"/>
      </font>
      <fill>
        <patternFill>
          <bgColor rgb="FF92D050"/>
        </patternFill>
      </fill>
    </dxf>
    <dxf>
      <font>
        <strike val="0"/>
        <color theme="1"/>
      </font>
      <fill>
        <patternFill>
          <bgColor rgb="FFFFFF00"/>
        </patternFill>
      </fill>
    </dxf>
    <dxf>
      <font>
        <strike val="0"/>
        <color theme="1"/>
      </font>
      <fill>
        <patternFill>
          <bgColor rgb="FFFF0000"/>
        </patternFill>
      </fill>
    </dxf>
    <dxf>
      <font>
        <b/>
        <i val="0"/>
        <color theme="0" tint="-4.9989318521683403E-2"/>
        <name val="Calibri Light"/>
        <scheme val="none"/>
      </font>
      <fill>
        <patternFill>
          <bgColor rgb="FFC0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6" tint="0.79998168889431442"/>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rgb="FFFF0000"/>
        </patternFill>
      </fill>
    </dxf>
    <dxf>
      <fill>
        <patternFill>
          <bgColor rgb="FFFFFF00"/>
        </patternFill>
      </fill>
    </dxf>
    <dxf>
      <fill>
        <patternFill>
          <bgColor theme="6" tint="-0.24994659260841701"/>
        </patternFill>
      </fill>
    </dxf>
    <dxf>
      <fill>
        <patternFill>
          <bgColor rgb="FF00B050"/>
        </patternFill>
      </fill>
    </dxf>
    <dxf>
      <fill>
        <patternFill>
          <bgColor theme="4" tint="0.59996337778862885"/>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6" tint="0.79998168889431442"/>
        </patternFill>
      </fill>
    </dxf>
    <dxf>
      <font>
        <b/>
        <i val="0"/>
        <color theme="1"/>
      </font>
      <fill>
        <patternFill>
          <bgColor rgb="FFFFFF00"/>
        </patternFill>
      </fill>
    </dxf>
    <dxf>
      <font>
        <b/>
        <i val="0"/>
        <color theme="0"/>
      </font>
      <fill>
        <patternFill>
          <bgColor rgb="FFFF0000"/>
        </patternFill>
      </fill>
    </dxf>
    <dxf>
      <font>
        <color rgb="FF9C0006"/>
      </font>
      <fill>
        <patternFill>
          <bgColor rgb="FFFFC7CE"/>
        </patternFill>
      </fill>
    </dxf>
    <dxf>
      <font>
        <b/>
        <i val="0"/>
        <color theme="1"/>
      </font>
      <fill>
        <patternFill>
          <bgColor rgb="FF92D050"/>
        </patternFill>
      </fill>
    </dxf>
    <dxf>
      <font>
        <color rgb="FF9C0006"/>
      </font>
      <fill>
        <patternFill>
          <bgColor rgb="FFFFC7CE"/>
        </patternFill>
      </fill>
    </dxf>
    <dxf>
      <font>
        <b/>
        <i val="0"/>
        <color theme="0"/>
      </font>
      <fill>
        <patternFill>
          <bgColor rgb="FFFF0000"/>
        </patternFill>
      </fill>
    </dxf>
    <dxf>
      <fill>
        <patternFill>
          <bgColor rgb="FF00FF00"/>
        </patternFill>
      </fill>
    </dxf>
    <dxf>
      <fill>
        <patternFill>
          <bgColor rgb="FFFFFF00"/>
        </patternFill>
      </fill>
    </dxf>
    <dxf>
      <fill>
        <patternFill>
          <bgColor rgb="FF00FF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31F343"/>
        </patternFill>
      </fill>
    </dxf>
    <dxf>
      <fill>
        <patternFill>
          <bgColor rgb="FFFFFF00"/>
        </patternFill>
      </fill>
    </dxf>
    <dxf>
      <fill>
        <patternFill>
          <bgColor rgb="FF00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FF00"/>
        </patternFill>
      </fill>
    </dxf>
    <dxf>
      <fill>
        <patternFill>
          <bgColor rgb="FFFF0000"/>
        </patternFill>
      </fill>
    </dxf>
    <dxf>
      <fill>
        <patternFill>
          <bgColor rgb="FF60F52B"/>
        </patternFill>
      </fill>
    </dxf>
    <dxf>
      <fill>
        <patternFill>
          <bgColor rgb="FF24E83B"/>
        </patternFill>
      </fill>
    </dxf>
    <dxf>
      <fill>
        <patternFill>
          <bgColor rgb="FFFFFF00"/>
        </patternFill>
      </fill>
    </dxf>
    <dxf>
      <fill>
        <patternFill>
          <bgColor rgb="FFFF0000"/>
        </patternFill>
      </fill>
    </dxf>
    <dxf>
      <font>
        <color theme="0"/>
      </font>
      <fill>
        <patternFill>
          <bgColor rgb="FFFF0000"/>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border>
      <protection locked="1" hidden="0"/>
    </dxf>
    <dxf>
      <border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indexed="8"/>
        <name val="Arial"/>
        <scheme val="none"/>
      </font>
      <numFmt numFmtId="0" formatCode="General"/>
      <fill>
        <patternFill patternType="solid">
          <fgColor indexed="64"/>
          <bgColor theme="0"/>
        </patternFill>
      </fill>
      <alignment horizontal="general" vertical="center" textRotation="0" wrapText="1" indent="0" justifyLastLine="0" shrinkToFit="0" readingOrder="0"/>
      <protection locked="1" hidden="0"/>
    </dxf>
    <dxf>
      <font>
        <b val="0"/>
        <i val="0"/>
        <strike val="0"/>
        <condense val="0"/>
        <extend val="0"/>
        <outline val="0"/>
        <shadow val="0"/>
        <u val="none"/>
        <vertAlign val="baseline"/>
        <sz val="11"/>
        <color auto="1"/>
        <name val="Arial"/>
        <scheme val="none"/>
      </font>
      <numFmt numFmtId="167" formatCode="_-* #,##0_-;\-* #,##0_-;_-* &quot;-&quot;??_-;_-@_-"/>
      <alignment horizontal="left" vertical="center" textRotation="0" wrapText="0" indent="0" justifyLastLine="0" shrinkToFit="0" readingOrder="0"/>
      <protection locked="1" hidden="0"/>
    </dxf>
    <dxf>
      <font>
        <b val="0"/>
        <i val="0"/>
        <strike val="0"/>
        <condense val="0"/>
        <extend val="0"/>
        <outline val="0"/>
        <shadow val="0"/>
        <u val="none"/>
        <vertAlign val="baseline"/>
        <sz val="11"/>
        <color rgb="FF000000"/>
        <name val="Arial"/>
        <scheme val="none"/>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theme="1"/>
        <name val="Arial"/>
        <scheme val="none"/>
      </font>
      <fill>
        <patternFill patternType="solid">
          <fgColor theme="4" tint="0.79998168889431442"/>
          <bgColor theme="4" tint="0.79998168889431442"/>
        </patternFill>
      </fill>
      <alignment horizontal="general" vertical="center" textRotation="0" wrapText="1" indent="0" justifyLastLine="0" shrinkToFit="0" readingOrder="0"/>
      <border diagonalUp="0" diagonalDown="0">
        <left/>
        <right/>
        <top style="thin">
          <color theme="4" tint="0.39997558519241921"/>
        </top>
        <bottom style="thin">
          <color theme="4" tint="0.39997558519241921"/>
        </bottom>
      </border>
      <protection locked="1" hidden="0"/>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strike val="0"/>
        <outline val="0"/>
        <shadow val="0"/>
        <u val="none"/>
        <vertAlign val="baseline"/>
        <name val="Arial"/>
        <scheme val="none"/>
      </font>
      <protection locked="1" hidden="0"/>
    </dxf>
    <dxf>
      <border outline="0">
        <bottom style="thin">
          <color theme="4" tint="0.39997558519241921"/>
        </bottom>
      </border>
    </dxf>
    <dxf>
      <font>
        <strike val="0"/>
        <outline val="0"/>
        <shadow val="0"/>
        <u val="none"/>
        <vertAlign val="baseline"/>
        <name val="Arial"/>
        <scheme val="none"/>
      </font>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name val="Arial"/>
        <scheme val="none"/>
      </font>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name val="Arial"/>
        <scheme val="none"/>
      </font>
      <numFmt numFmtId="186" formatCode="_-* #.##0_-;\-* #.##0_-;_-* &quot;-&quot;??_-;_-@_-"/>
      <protection locked="1" hidden="0"/>
    </dxf>
    <dxf>
      <font>
        <b val="0"/>
        <i val="0"/>
        <strike val="0"/>
        <condense val="0"/>
        <extend val="0"/>
        <outline val="0"/>
        <shadow val="0"/>
        <u val="none"/>
        <vertAlign val="baseline"/>
        <sz val="11"/>
        <color auto="1"/>
        <name val="Arial"/>
        <scheme val="none"/>
      </font>
      <numFmt numFmtId="167" formatCode="_-* #,##0_-;\-* #,##0_-;_-* &quot;-&quot;??_-;_-@_-"/>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scheme val="none"/>
      </font>
      <alignment horizontal="general" vertical="center" textRotation="0" wrapText="0" indent="0" justifyLastLine="0" shrinkToFit="0" readingOrder="0"/>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FF0000"/>
        <name val="Arial"/>
        <scheme val="none"/>
      </font>
      <numFmt numFmtId="13" formatCode="0%"/>
      <fill>
        <patternFill patternType="solid">
          <fgColor indexed="64"/>
          <bgColor rgb="FFFFFF00"/>
        </patternFill>
      </fill>
      <alignment horizontal="center" vertical="center" textRotation="0" wrapText="1" indent="0" justifyLastLine="0" shrinkToFit="0" readingOrder="0"/>
      <border diagonalUp="0" diagonalDown="0">
        <left/>
        <right style="medium">
          <color indexed="64"/>
        </right>
        <top/>
        <bottom style="medium">
          <color indexed="64"/>
        </bottom>
      </border>
      <protection locked="1" hidden="0"/>
    </dxf>
    <dxf>
      <font>
        <b val="0"/>
        <i val="0"/>
        <strike val="0"/>
        <condense val="0"/>
        <extend val="0"/>
        <outline val="0"/>
        <shadow val="0"/>
        <u val="none"/>
        <vertAlign val="baseline"/>
        <sz val="10"/>
        <color rgb="FF000000"/>
        <name val="Arial"/>
        <scheme val="none"/>
      </font>
      <alignment horizontal="justify" vertical="center" textRotation="0" wrapText="1" indent="0" justifyLastLine="0" shrinkToFit="0" readingOrder="0"/>
      <border diagonalUp="0" diagonalDown="0">
        <left/>
        <right/>
        <top/>
        <bottom style="medium">
          <color indexed="64"/>
        </bottom>
      </border>
      <protection locked="1" hidden="0"/>
    </dxf>
    <dxf>
      <border outline="0">
        <left style="medium">
          <color indexed="64"/>
        </left>
        <right style="medium">
          <color indexed="64"/>
        </right>
        <bottom style="medium">
          <color indexed="64"/>
        </bottom>
      </border>
    </dxf>
    <dxf>
      <font>
        <strike val="0"/>
        <outline val="0"/>
        <shadow val="0"/>
        <u val="none"/>
        <vertAlign val="baseline"/>
        <sz val="10"/>
        <name val="Arial"/>
        <scheme val="none"/>
      </font>
      <protection locked="1" hidden="0"/>
    </dxf>
    <dxf>
      <border outline="0">
        <bottom style="medium">
          <color indexed="64"/>
        </bottom>
      </border>
    </dxf>
    <dxf>
      <font>
        <b/>
        <i val="0"/>
        <strike val="0"/>
        <condense val="0"/>
        <extend val="0"/>
        <outline val="0"/>
        <shadow val="0"/>
        <u val="none"/>
        <vertAlign val="baseline"/>
        <sz val="10"/>
        <color rgb="FF000000"/>
        <name val="Arial"/>
        <scheme val="none"/>
      </font>
      <alignment horizontal="center" vertical="center" textRotation="0" wrapText="1" indent="0" justifyLastLine="0" shrinkToFit="0" readingOrder="0"/>
      <protection locked="1" hidden="0"/>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color auto="1"/>
        <name val="Arial"/>
        <scheme val="none"/>
      </font>
      <numFmt numFmtId="13" formatCode="0%"/>
      <alignment horizontal="center" vertical="bottom" textRotation="0" wrapText="0" indent="0" justifyLastLine="0" shrinkToFit="0" readingOrder="0"/>
      <protection locked="1" hidden="1"/>
    </dxf>
    <dxf>
      <font>
        <strike val="0"/>
        <outline val="0"/>
        <shadow val="0"/>
        <u val="none"/>
        <vertAlign val="baseline"/>
        <sz val="11"/>
        <color auto="1"/>
        <name val="Arial"/>
        <scheme val="none"/>
      </font>
      <numFmt numFmtId="14" formatCode="0.00%"/>
      <alignment horizontal="center" vertical="bottom" textRotation="0" wrapText="0" indent="0" justifyLastLine="0" shrinkToFit="0" readingOrder="0"/>
      <protection locked="1" hidden="1"/>
    </dxf>
    <dxf>
      <font>
        <strike val="0"/>
        <outline val="0"/>
        <shadow val="0"/>
        <vertAlign val="baseline"/>
        <name val="Arial"/>
        <scheme val="none"/>
      </font>
      <numFmt numFmtId="13" formatCode="0%"/>
      <alignment horizontal="center" vertical="bottom" textRotation="0" wrapText="0" indent="0" justifyLastLine="0" shrinkToFit="0" readingOrder="0"/>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protection locked="1" hidden="1"/>
    </dxf>
    <dxf>
      <font>
        <strike val="0"/>
        <outline val="0"/>
        <shadow val="0"/>
        <vertAlign val="baseline"/>
        <name val="Arial"/>
        <scheme val="none"/>
      </font>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theme="5" tint="0.39997558519241921"/>
        </patternFill>
      </fill>
      <alignment horizontal="center" vertical="center" textRotation="0" wrapText="1" indent="0" justifyLastLine="0" shrinkToFit="0" readingOrder="0"/>
    </dxf>
    <dxf>
      <font>
        <strike val="0"/>
        <outline val="0"/>
        <shadow val="0"/>
        <u val="none"/>
        <vertAlign val="baseline"/>
        <sz val="11"/>
        <color theme="1"/>
        <name val="Arial"/>
        <scheme val="none"/>
      </font>
      <fill>
        <patternFill patternType="solid">
          <fgColor indexed="64"/>
          <bgColor rgb="FFC0000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none">
          <fgColor indexed="64"/>
          <bgColor auto="1"/>
        </patternFill>
      </fill>
    </dxf>
    <dxf>
      <font>
        <b val="0"/>
        <i val="0"/>
        <strike val="0"/>
        <condense val="0"/>
        <extend val="0"/>
        <outline val="0"/>
        <shadow val="0"/>
        <u val="none"/>
        <vertAlign val="baseline"/>
        <sz val="10"/>
        <color theme="1"/>
        <name val="Calibri"/>
        <scheme val="minor"/>
      </font>
      <border diagonalUp="0" diagonalDown="0" outline="0">
        <left style="thin">
          <color theme="4" tint="0.39997558519241921"/>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right/>
        <top style="thin">
          <color theme="4" tint="0.39997558519241921"/>
        </top>
        <bottom style="thin">
          <color theme="4" tint="0.39997558519241921"/>
        </bottom>
        <vertical/>
        <horizontal/>
      </border>
    </dxf>
    <dxf>
      <border outline="0">
        <left style="thin">
          <color theme="4" tint="0.39997558519241921"/>
        </left>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13" formatCode="0%"/>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border diagonalUp="0" diagonalDown="0">
        <left style="thin">
          <color theme="4" tint="0.39997558519241921"/>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0"/>
        <color theme="1"/>
        <name val="Calibri"/>
        <scheme val="minor"/>
      </font>
    </dxf>
  </dxfs>
  <tableStyles count="0" defaultTableStyle="TableStyleMedium2" defaultPivotStyle="PivotStyleLight16"/>
  <colors>
    <mruColors>
      <color rgb="FFCEE193"/>
      <color rgb="FF00FF00"/>
      <color rgb="FFD6BBEB"/>
      <color rgb="FFEE0000"/>
      <color rgb="FFFC6A28"/>
      <color rgb="FFFABA86"/>
      <color rgb="FFCBA9E5"/>
      <color rgb="FFFF65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fmlaLink="$A$15" lockText="1" noThreeD="1"/>
</file>

<file path=xl/ctrlProps/ctrlProp2.xml><?xml version="1.0" encoding="utf-8"?>
<formControlPr xmlns="http://schemas.microsoft.com/office/spreadsheetml/2009/9/main" objectType="CheckBox" checked="Checked" fmlaLink="$A$16" lockText="1" noThreeD="1"/>
</file>

<file path=xl/ctrlProps/ctrlProp3.xml><?xml version="1.0" encoding="utf-8"?>
<formControlPr xmlns="http://schemas.microsoft.com/office/spreadsheetml/2009/9/main" objectType="CheckBox" checked="Checked" fmlaLink="$A$17" lockText="1" noThreeD="1"/>
</file>

<file path=xl/ctrlProps/ctrlProp4.xml><?xml version="1.0" encoding="utf-8"?>
<formControlPr xmlns="http://schemas.microsoft.com/office/spreadsheetml/2009/9/main" objectType="CheckBox" checked="Checked" fmlaLink="$A$1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47</xdr:col>
      <xdr:colOff>195943</xdr:colOff>
      <xdr:row>19</xdr:row>
      <xdr:rowOff>97971</xdr:rowOff>
    </xdr:from>
    <xdr:to>
      <xdr:col>51</xdr:col>
      <xdr:colOff>49530</xdr:colOff>
      <xdr:row>28</xdr:row>
      <xdr:rowOff>173355</xdr:rowOff>
    </xdr:to>
    <xdr:pic>
      <xdr:nvPicPr>
        <xdr:cNvPr id="2" name="Imagen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stretch>
          <a:fillRect/>
        </a:stretch>
      </xdr:blipFill>
      <xdr:spPr>
        <a:xfrm>
          <a:off x="69298457" y="10765971"/>
          <a:ext cx="5612130" cy="29927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557892</xdr:colOff>
      <xdr:row>0</xdr:row>
      <xdr:rowOff>54431</xdr:rowOff>
    </xdr:from>
    <xdr:to>
      <xdr:col>2</xdr:col>
      <xdr:colOff>1360714</xdr:colOff>
      <xdr:row>1</xdr:row>
      <xdr:rowOff>235480</xdr:rowOff>
    </xdr:to>
    <xdr:pic>
      <xdr:nvPicPr>
        <xdr:cNvPr id="2" name="image2.jpg" descr="logo nuevo contralori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892" y="54431"/>
          <a:ext cx="802822" cy="861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491216</xdr:colOff>
      <xdr:row>0</xdr:row>
      <xdr:rowOff>54431</xdr:rowOff>
    </xdr:from>
    <xdr:to>
      <xdr:col>2</xdr:col>
      <xdr:colOff>1790700</xdr:colOff>
      <xdr:row>1</xdr:row>
      <xdr:rowOff>235480</xdr:rowOff>
    </xdr:to>
    <xdr:pic>
      <xdr:nvPicPr>
        <xdr:cNvPr id="3" name="image2.jpg" descr="logo nuevo contraloria">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216" y="54431"/>
          <a:ext cx="1299484" cy="866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513137</xdr:colOff>
      <xdr:row>0</xdr:row>
      <xdr:rowOff>84604</xdr:rowOff>
    </xdr:from>
    <xdr:to>
      <xdr:col>1</xdr:col>
      <xdr:colOff>1667384</xdr:colOff>
      <xdr:row>1</xdr:row>
      <xdr:rowOff>291352</xdr:rowOff>
    </xdr:to>
    <xdr:pic>
      <xdr:nvPicPr>
        <xdr:cNvPr id="2" name="image2.jpg" descr="logo nuevo contralori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5137" y="84604"/>
          <a:ext cx="1154247" cy="811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409574</xdr:colOff>
      <xdr:row>0</xdr:row>
      <xdr:rowOff>123826</xdr:rowOff>
    </xdr:from>
    <xdr:to>
      <xdr:col>1</xdr:col>
      <xdr:colOff>1721067</xdr:colOff>
      <xdr:row>1</xdr:row>
      <xdr:rowOff>364135</xdr:rowOff>
    </xdr:to>
    <xdr:pic>
      <xdr:nvPicPr>
        <xdr:cNvPr id="2" name="image2.jpg" descr="logo nuevo contraloria">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1574" y="123826"/>
          <a:ext cx="1311493" cy="897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255494</xdr:colOff>
      <xdr:row>0</xdr:row>
      <xdr:rowOff>59391</xdr:rowOff>
    </xdr:from>
    <xdr:to>
      <xdr:col>1</xdr:col>
      <xdr:colOff>1209675</xdr:colOff>
      <xdr:row>1</xdr:row>
      <xdr:rowOff>218066</xdr:rowOff>
    </xdr:to>
    <xdr:pic>
      <xdr:nvPicPr>
        <xdr:cNvPr id="2" name="image2.jpg" descr="logo nuevo contralor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4094" y="59391"/>
          <a:ext cx="954181" cy="62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598713</xdr:colOff>
      <xdr:row>0</xdr:row>
      <xdr:rowOff>13608</xdr:rowOff>
    </xdr:from>
    <xdr:to>
      <xdr:col>0</xdr:col>
      <xdr:colOff>1850571</xdr:colOff>
      <xdr:row>1</xdr:row>
      <xdr:rowOff>294896</xdr:rowOff>
    </xdr:to>
    <xdr:pic>
      <xdr:nvPicPr>
        <xdr:cNvPr id="2" name="image2.jpg" descr="logo nuevo contraloria">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713" y="13608"/>
          <a:ext cx="1251858" cy="8800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435429</xdr:colOff>
      <xdr:row>1</xdr:row>
      <xdr:rowOff>81643</xdr:rowOff>
    </xdr:from>
    <xdr:to>
      <xdr:col>0</xdr:col>
      <xdr:colOff>1823356</xdr:colOff>
      <xdr:row>2</xdr:row>
      <xdr:rowOff>417761</xdr:rowOff>
    </xdr:to>
    <xdr:pic>
      <xdr:nvPicPr>
        <xdr:cNvPr id="2" name="image2.jpg" descr="logo nuevo contraloria">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429" y="285750"/>
          <a:ext cx="1387927" cy="9756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406791</xdr:colOff>
      <xdr:row>0</xdr:row>
      <xdr:rowOff>150333</xdr:rowOff>
    </xdr:from>
    <xdr:to>
      <xdr:col>0</xdr:col>
      <xdr:colOff>1823357</xdr:colOff>
      <xdr:row>1</xdr:row>
      <xdr:rowOff>417822</xdr:rowOff>
    </xdr:to>
    <xdr:pic>
      <xdr:nvPicPr>
        <xdr:cNvPr id="2" name="image2.jpg" descr="logo nuevo contralori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6791" y="150333"/>
          <a:ext cx="1416566" cy="11111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302079</xdr:colOff>
      <xdr:row>1</xdr:row>
      <xdr:rowOff>119745</xdr:rowOff>
    </xdr:from>
    <xdr:to>
      <xdr:col>0</xdr:col>
      <xdr:colOff>1524000</xdr:colOff>
      <xdr:row>2</xdr:row>
      <xdr:rowOff>584766</xdr:rowOff>
    </xdr:to>
    <xdr:pic>
      <xdr:nvPicPr>
        <xdr:cNvPr id="3" name="image2.jpg" descr="logo nuevo contraloria">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079" y="310245"/>
          <a:ext cx="1221921"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1955686</xdr:colOff>
      <xdr:row>96</xdr:row>
      <xdr:rowOff>1</xdr:rowOff>
    </xdr:from>
    <xdr:to>
      <xdr:col>6</xdr:col>
      <xdr:colOff>998083</xdr:colOff>
      <xdr:row>96</xdr:row>
      <xdr:rowOff>464703</xdr:rowOff>
    </xdr:to>
    <xdr:sp macro="" textlink="">
      <xdr:nvSpPr>
        <xdr:cNvPr id="2" name="2 Rectángulo redondeado">
          <a:extLst>
            <a:ext uri="{FF2B5EF4-FFF2-40B4-BE49-F238E27FC236}">
              <a16:creationId xmlns:a16="http://schemas.microsoft.com/office/drawing/2014/main" id="{00000000-0008-0000-0A00-000002000000}"/>
            </a:ext>
          </a:extLst>
        </xdr:cNvPr>
        <xdr:cNvSpPr/>
      </xdr:nvSpPr>
      <xdr:spPr>
        <a:xfrm>
          <a:off x="2412886" y="49366715"/>
          <a:ext cx="11702483" cy="464702"/>
        </a:xfrm>
        <a:prstGeom prst="round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800" b="1">
              <a:solidFill>
                <a:schemeClr val="bg1"/>
              </a:solidFill>
            </a:rPr>
            <a:t>CONCEPTO</a:t>
          </a:r>
          <a:r>
            <a:rPr lang="es-CO" sz="2800" b="1" baseline="0">
              <a:solidFill>
                <a:schemeClr val="bg1"/>
              </a:solidFill>
            </a:rPr>
            <a:t> PRESUPUESTAL</a:t>
          </a:r>
          <a:endParaRPr lang="es-CO" sz="1100" b="1">
            <a:solidFill>
              <a:schemeClr val="bg1"/>
            </a:solidFill>
          </a:endParaRPr>
        </a:p>
      </xdr:txBody>
    </xdr:sp>
    <xdr:clientData/>
  </xdr:twoCellAnchor>
  <xdr:twoCellAnchor editAs="oneCell">
    <xdr:from>
      <xdr:col>1</xdr:col>
      <xdr:colOff>454478</xdr:colOff>
      <xdr:row>1</xdr:row>
      <xdr:rowOff>119745</xdr:rowOff>
    </xdr:from>
    <xdr:to>
      <xdr:col>1</xdr:col>
      <xdr:colOff>1828799</xdr:colOff>
      <xdr:row>2</xdr:row>
      <xdr:rowOff>385278</xdr:rowOff>
    </xdr:to>
    <xdr:pic>
      <xdr:nvPicPr>
        <xdr:cNvPr id="3" name="image2.jpg" descr="logo nuevo contralori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4" name="image2.jpg" descr="logo nuevo contralori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454478</xdr:colOff>
      <xdr:row>1</xdr:row>
      <xdr:rowOff>119745</xdr:rowOff>
    </xdr:from>
    <xdr:to>
      <xdr:col>1</xdr:col>
      <xdr:colOff>1828799</xdr:colOff>
      <xdr:row>2</xdr:row>
      <xdr:rowOff>385278</xdr:rowOff>
    </xdr:to>
    <xdr:pic>
      <xdr:nvPicPr>
        <xdr:cNvPr id="5" name="image2.jpg" descr="logo nuevo contraloria">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3" y="300720"/>
          <a:ext cx="1374321" cy="1018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809625</xdr:colOff>
      <xdr:row>10</xdr:row>
      <xdr:rowOff>333375</xdr:rowOff>
    </xdr:from>
    <xdr:to>
      <xdr:col>2</xdr:col>
      <xdr:colOff>1847850</xdr:colOff>
      <xdr:row>11</xdr:row>
      <xdr:rowOff>257175</xdr:rowOff>
    </xdr:to>
    <xdr:sp macro="" textlink="">
      <xdr:nvSpPr>
        <xdr:cNvPr id="3" name="Flecha derecha 2">
          <a:extLst>
            <a:ext uri="{FF2B5EF4-FFF2-40B4-BE49-F238E27FC236}">
              <a16:creationId xmlns:a16="http://schemas.microsoft.com/office/drawing/2014/main" id="{00000000-0008-0000-0C00-000003000000}"/>
            </a:ext>
          </a:extLst>
        </xdr:cNvPr>
        <xdr:cNvSpPr/>
      </xdr:nvSpPr>
      <xdr:spPr>
        <a:xfrm>
          <a:off x="2990850" y="2152650"/>
          <a:ext cx="1038225" cy="342900"/>
        </a:xfrm>
        <a:prstGeom prst="rightArrow">
          <a:avLst/>
        </a:prstGeom>
        <a:solidFill>
          <a:srgbClr val="C000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225879</xdr:colOff>
      <xdr:row>1</xdr:row>
      <xdr:rowOff>176895</xdr:rowOff>
    </xdr:from>
    <xdr:to>
      <xdr:col>1</xdr:col>
      <xdr:colOff>1590675</xdr:colOff>
      <xdr:row>2</xdr:row>
      <xdr:rowOff>327591</xdr:rowOff>
    </xdr:to>
    <xdr:pic>
      <xdr:nvPicPr>
        <xdr:cNvPr id="4" name="image2.jpg" descr="logo nuevo contraloria">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829" y="367395"/>
          <a:ext cx="1364796" cy="79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521494</xdr:colOff>
      <xdr:row>1</xdr:row>
      <xdr:rowOff>178592</xdr:rowOff>
    </xdr:from>
    <xdr:to>
      <xdr:col>0</xdr:col>
      <xdr:colOff>1877986</xdr:colOff>
      <xdr:row>2</xdr:row>
      <xdr:rowOff>400049</xdr:rowOff>
    </xdr:to>
    <xdr:pic>
      <xdr:nvPicPr>
        <xdr:cNvPr id="3" name="image2.jpg" descr="logo nuevo contraloria">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494" y="369092"/>
          <a:ext cx="1356492" cy="869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210594</xdr:colOff>
      <xdr:row>0</xdr:row>
      <xdr:rowOff>58218</xdr:rowOff>
    </xdr:from>
    <xdr:to>
      <xdr:col>0</xdr:col>
      <xdr:colOff>1388630</xdr:colOff>
      <xdr:row>0</xdr:row>
      <xdr:rowOff>832715</xdr:rowOff>
    </xdr:to>
    <xdr:pic>
      <xdr:nvPicPr>
        <xdr:cNvPr id="2" name="image2.jpg" descr="logo nuevo contralori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4861" cy="771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210594</xdr:colOff>
      <xdr:row>0</xdr:row>
      <xdr:rowOff>58218</xdr:rowOff>
    </xdr:from>
    <xdr:to>
      <xdr:col>0</xdr:col>
      <xdr:colOff>1388630</xdr:colOff>
      <xdr:row>0</xdr:row>
      <xdr:rowOff>832715</xdr:rowOff>
    </xdr:to>
    <xdr:pic>
      <xdr:nvPicPr>
        <xdr:cNvPr id="3" name="image2.jpg" descr="logo nuevo contraloria">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594" y="58218"/>
          <a:ext cx="1178036" cy="774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239568</xdr:colOff>
      <xdr:row>0</xdr:row>
      <xdr:rowOff>82742</xdr:rowOff>
    </xdr:from>
    <xdr:to>
      <xdr:col>1</xdr:col>
      <xdr:colOff>1598468</xdr:colOff>
      <xdr:row>0</xdr:row>
      <xdr:rowOff>909730</xdr:rowOff>
    </xdr:to>
    <xdr:pic>
      <xdr:nvPicPr>
        <xdr:cNvPr id="2" name="image2.jpg" descr="logo nuevo contralori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255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381000</xdr:colOff>
          <xdr:row>14</xdr:row>
          <xdr:rowOff>22860</xdr:rowOff>
        </xdr:from>
        <xdr:to>
          <xdr:col>2</xdr:col>
          <xdr:colOff>2057400</xdr:colOff>
          <xdr:row>14</xdr:row>
          <xdr:rowOff>373380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F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VALOR PAGADO OTRAS FORMAS DE EJECUCIÓN DEL GASTO DE LA VIGENCIA AUDITAR DIFERENTES A CONTRATACIÓN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15</xdr:row>
          <xdr:rowOff>22860</xdr:rowOff>
        </xdr:from>
        <xdr:to>
          <xdr:col>2</xdr:col>
          <xdr:colOff>1821180</xdr:colOff>
          <xdr:row>16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F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VALOR PAGADO CONTRATOS SUSCRITOS EN LA VIGENCIA 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22860</xdr:rowOff>
        </xdr:from>
        <xdr:to>
          <xdr:col>2</xdr:col>
          <xdr:colOff>1821180</xdr:colOff>
          <xdr:row>17</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F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VALOR PAGADO ADICIONES A CONTRATOS SUSCRITOS EN VIGENCIAS ANTERIORES EFECTUADAS DENTRO DE LA VIGENCIA AUDITAR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17</xdr:row>
          <xdr:rowOff>22860</xdr:rowOff>
        </xdr:from>
        <xdr:to>
          <xdr:col>2</xdr:col>
          <xdr:colOff>1821180</xdr:colOff>
          <xdr:row>18</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F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VALOR PAGADO CONTRATOS SUSCRITOS EN VIGENCIAS ANTERIORES CON GESTIÓN FISCAL EN LA VIGENCIA A AUDITAR </a:t>
              </a:r>
            </a:p>
          </xdr:txBody>
        </xdr:sp>
        <xdr:clientData fLocksWithSheet="0"/>
      </xdr:twoCellAnchor>
    </mc:Choice>
    <mc:Fallback/>
  </mc:AlternateContent>
  <xdr:twoCellAnchor editAs="oneCell">
    <xdr:from>
      <xdr:col>1</xdr:col>
      <xdr:colOff>239568</xdr:colOff>
      <xdr:row>0</xdr:row>
      <xdr:rowOff>82742</xdr:rowOff>
    </xdr:from>
    <xdr:to>
      <xdr:col>1</xdr:col>
      <xdr:colOff>1598468</xdr:colOff>
      <xdr:row>0</xdr:row>
      <xdr:rowOff>909730</xdr:rowOff>
    </xdr:to>
    <xdr:pic>
      <xdr:nvPicPr>
        <xdr:cNvPr id="7" name="image2.jpg" descr="logo nuevo contraloria">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168" y="82742"/>
          <a:ext cx="1358900" cy="82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527019</xdr:colOff>
      <xdr:row>0</xdr:row>
      <xdr:rowOff>62593</xdr:rowOff>
    </xdr:from>
    <xdr:to>
      <xdr:col>0</xdr:col>
      <xdr:colOff>1317171</xdr:colOff>
      <xdr:row>0</xdr:row>
      <xdr:rowOff>1038177</xdr:rowOff>
    </xdr:to>
    <xdr:pic>
      <xdr:nvPicPr>
        <xdr:cNvPr id="2" name="image2.jpg" descr="logo nuevo contralori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9" y="62593"/>
          <a:ext cx="790152"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527018</xdr:colOff>
      <xdr:row>0</xdr:row>
      <xdr:rowOff>62593</xdr:rowOff>
    </xdr:from>
    <xdr:to>
      <xdr:col>0</xdr:col>
      <xdr:colOff>1777999</xdr:colOff>
      <xdr:row>0</xdr:row>
      <xdr:rowOff>1038177</xdr:rowOff>
    </xdr:to>
    <xdr:pic>
      <xdr:nvPicPr>
        <xdr:cNvPr id="3" name="image2.jpg" descr="logo nuevo contraloria">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18" y="62593"/>
          <a:ext cx="1250981" cy="9755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Roaming/Microsoft/Excel/PVCGF-04-08%20Proceso%20de%20gasto%20p&#250;blico%20(1)%20(version%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ownloads/PVCGF-%2004-13%20Instrumento%20para%20la%20Calificacio&#769;n%20a%20la%20Gestio&#769;n%20Fiscal%20AFGR%202308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ocuments/IDU%202025/Planeacion/PVCGF-%2004-09%20Instrumento%20para%20la%20Calificaci&#243;n%20a%20la%20Gesti&#243;n%20Fiscal%20IDU%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trabog/Downloads/PVCGF-04-06%20Procesos%20presupuesto%20de%20ingresos%20y%20de%20gastos%20o%20costos%20y%20gastos%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Documents/Matrices%20Auditoria%20Financiera%20de%20gestion%20y%20resultados/PVCGF-%2004-13%20Instrumento%20para%20la%20Calificacio&#769;n%20a%20la%20Gestio&#769;n%20Fiscal%20AFGR%202308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USER/Documents/Formatos%20Auditoria%20Financiera/PVCGF-04-06%20Procesos%20presupuesto%20de%20ingresos%20y%20de%20gastos%20o%20costos%20y%20gas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ANALÍTICAS GASTO PÚBLICO"/>
      <sheetName val="MATERIALIDAD GASTO PÚBLICO"/>
      <sheetName val="CALIFICACION GASTO PUBLICO"/>
    </sheetNames>
    <sheetDataSet>
      <sheetData sheetId="0"/>
      <sheetData sheetId="1"/>
      <sheetData sheetId="2"/>
      <sheetData sheetId="3">
        <row r="65518">
          <cell r="A65518" t="str">
            <v>NO APLICA</v>
          </cell>
        </row>
        <row r="65519">
          <cell r="A65519" t="str">
            <v>ETAPA 1</v>
          </cell>
        </row>
        <row r="65520">
          <cell r="A65520" t="str">
            <v>ETAPA 2</v>
          </cell>
        </row>
        <row r="65521">
          <cell r="A65521" t="str">
            <v>ETAPA 3</v>
          </cell>
        </row>
        <row r="65522">
          <cell r="A65522" t="str">
            <v>ETAPA 1 Y 2</v>
          </cell>
        </row>
        <row r="65523">
          <cell r="A65523" t="str">
            <v>ETAPAS 2 Y 3</v>
          </cell>
        </row>
        <row r="65524">
          <cell r="A65524" t="str">
            <v>TODAS LAS ETAPAS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NECIMIENTO_PUBLICAS"/>
      <sheetName val="Riesgos general"/>
      <sheetName val="LISTA"/>
      <sheetName val="Riesgo muestra"/>
      <sheetName val="LISTAS"/>
      <sheetName val="2. RIESGOS DE AUDITORÍA"/>
      <sheetName val="DATOS ANÁLISIS"/>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t="str">
            <v>1 - Fondo de Desarrollo Local de Usaquén</v>
          </cell>
        </row>
        <row r="124">
          <cell r="B124" t="str">
            <v>Activo</v>
          </cell>
        </row>
        <row r="125">
          <cell r="B125" t="str">
            <v>Pasivo</v>
          </cell>
        </row>
        <row r="126">
          <cell r="B126" t="str">
            <v>Patrimonio</v>
          </cell>
        </row>
        <row r="127">
          <cell r="B127" t="str">
            <v>Pasivo + Patrimonio</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49">
          <cell r="B49">
            <v>6</v>
          </cell>
          <cell r="E49">
            <v>45000000000</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CONTRALORÍA DE__________________</v>
          </cell>
        </row>
        <row r="167">
          <cell r="A167" t="str">
            <v>Carmen Beatriz Moncada</v>
          </cell>
          <cell r="B167" t="str">
            <v>Supervisor</v>
          </cell>
        </row>
        <row r="168">
          <cell r="A168" t="str">
            <v>Lorena Alarcón Martínez</v>
          </cell>
          <cell r="B168" t="str">
            <v>Líder</v>
          </cell>
        </row>
        <row r="169">
          <cell r="A169" t="str">
            <v>Julian Alberto Rodas</v>
          </cell>
          <cell r="B169" t="str">
            <v>Auditor</v>
          </cell>
        </row>
        <row r="170">
          <cell r="A170" t="str">
            <v>d</v>
          </cell>
          <cell r="B170" t="str">
            <v>z</v>
          </cell>
        </row>
        <row r="171">
          <cell r="A171" t="str">
            <v>d</v>
          </cell>
          <cell r="B171" t="str">
            <v>z</v>
          </cell>
        </row>
        <row r="172">
          <cell r="A172" t="str">
            <v>d</v>
          </cell>
          <cell r="B172" t="str">
            <v>z</v>
          </cell>
        </row>
        <row r="173">
          <cell r="A173" t="str">
            <v>d</v>
          </cell>
          <cell r="B173" t="str">
            <v>z</v>
          </cell>
        </row>
        <row r="174">
          <cell r="A174" t="str">
            <v>d</v>
          </cell>
          <cell r="B174" t="str">
            <v>z</v>
          </cell>
        </row>
        <row r="175">
          <cell r="A175" t="str">
            <v>d</v>
          </cell>
          <cell r="B175" t="str">
            <v>z</v>
          </cell>
        </row>
        <row r="176">
          <cell r="A176" t="str">
            <v>d</v>
          </cell>
          <cell r="B176" t="str">
            <v>z</v>
          </cell>
        </row>
        <row r="177">
          <cell r="A177" t="str">
            <v>d</v>
          </cell>
          <cell r="B177" t="str">
            <v>z</v>
          </cell>
        </row>
        <row r="178">
          <cell r="A178" t="str">
            <v>d</v>
          </cell>
          <cell r="B178" t="str">
            <v>z</v>
          </cell>
        </row>
        <row r="179">
          <cell r="A179" t="str">
            <v>d</v>
          </cell>
          <cell r="B179" t="str">
            <v>z</v>
          </cell>
        </row>
        <row r="180">
          <cell r="A180" t="str">
            <v>d</v>
          </cell>
          <cell r="B180" t="str">
            <v>z</v>
          </cell>
        </row>
        <row r="181">
          <cell r="A181" t="str">
            <v>d</v>
          </cell>
          <cell r="B181" t="str">
            <v>z</v>
          </cell>
        </row>
        <row r="182">
          <cell r="A182" t="str">
            <v>d</v>
          </cell>
          <cell r="B182" t="str">
            <v>z</v>
          </cell>
        </row>
        <row r="183">
          <cell r="A183" t="str">
            <v>d</v>
          </cell>
          <cell r="B183" t="str">
            <v>z</v>
          </cell>
        </row>
        <row r="184">
          <cell r="A184" t="str">
            <v>d</v>
          </cell>
          <cell r="B184" t="str">
            <v>z</v>
          </cell>
        </row>
        <row r="185">
          <cell r="A185" t="str">
            <v>d</v>
          </cell>
          <cell r="B185" t="str">
            <v>z</v>
          </cell>
        </row>
        <row r="186">
          <cell r="A186" t="str">
            <v>d</v>
          </cell>
          <cell r="B186" t="str">
            <v>z</v>
          </cell>
        </row>
        <row r="187">
          <cell r="A187" t="str">
            <v>d</v>
          </cell>
          <cell r="B187" t="str">
            <v>z</v>
          </cell>
        </row>
        <row r="188">
          <cell r="A188" t="str">
            <v>d</v>
          </cell>
          <cell r="B188" t="str">
            <v>z</v>
          </cell>
        </row>
        <row r="189">
          <cell r="A189" t="str">
            <v>d</v>
          </cell>
          <cell r="B189" t="str">
            <v>z</v>
          </cell>
        </row>
        <row r="190">
          <cell r="A190" t="str">
            <v>d</v>
          </cell>
          <cell r="B190" t="str">
            <v>z</v>
          </cell>
        </row>
        <row r="191">
          <cell r="A191" t="str">
            <v>d</v>
          </cell>
          <cell r="B191" t="str">
            <v>z</v>
          </cell>
        </row>
        <row r="192">
          <cell r="A192" t="str">
            <v>d</v>
          </cell>
          <cell r="B192" t="str">
            <v>z</v>
          </cell>
        </row>
        <row r="193">
          <cell r="A193" t="str">
            <v>d</v>
          </cell>
          <cell r="B193" t="str">
            <v>z</v>
          </cell>
        </row>
        <row r="194">
          <cell r="A194" t="str">
            <v>d</v>
          </cell>
          <cell r="B194" t="str">
            <v>z</v>
          </cell>
        </row>
        <row r="195">
          <cell r="A195" t="str">
            <v>d</v>
          </cell>
          <cell r="B195" t="str">
            <v>z</v>
          </cell>
        </row>
        <row r="196">
          <cell r="A196" t="str">
            <v>d</v>
          </cell>
          <cell r="B196" t="str">
            <v>z</v>
          </cell>
        </row>
        <row r="197">
          <cell r="A197" t="str">
            <v>d</v>
          </cell>
          <cell r="B197" t="str">
            <v>z</v>
          </cell>
        </row>
        <row r="198">
          <cell r="A198" t="str">
            <v>d</v>
          </cell>
          <cell r="B198" t="str">
            <v>z</v>
          </cell>
        </row>
        <row r="199">
          <cell r="A199" t="str">
            <v>d</v>
          </cell>
          <cell r="B199" t="str">
            <v>z</v>
          </cell>
        </row>
        <row r="200">
          <cell r="A200" t="str">
            <v>d</v>
          </cell>
          <cell r="B200" t="str">
            <v>z</v>
          </cell>
        </row>
        <row r="201">
          <cell r="A201" t="str">
            <v>d</v>
          </cell>
          <cell r="B201" t="str">
            <v>z</v>
          </cell>
        </row>
        <row r="202">
          <cell r="A202" t="str">
            <v>d</v>
          </cell>
          <cell r="B202" t="str">
            <v>z</v>
          </cell>
        </row>
        <row r="203">
          <cell r="A203" t="str">
            <v>d</v>
          </cell>
          <cell r="B203" t="str">
            <v>z</v>
          </cell>
        </row>
        <row r="204">
          <cell r="A204" t="str">
            <v>d</v>
          </cell>
          <cell r="B204" t="str">
            <v>z</v>
          </cell>
        </row>
        <row r="205">
          <cell r="A205" t="str">
            <v>d</v>
          </cell>
          <cell r="B205" t="str">
            <v>z</v>
          </cell>
        </row>
        <row r="206">
          <cell r="A206" t="str">
            <v>d</v>
          </cell>
          <cell r="B206" t="str">
            <v>z</v>
          </cell>
        </row>
      </sheetData>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FENECIMIENTO CUENTA"/>
      <sheetName val="LISTAS PPTO"/>
      <sheetName val="FENECIMIENTO"/>
      <sheetName val="ANALÍTICA ESTADO SITUACIÓN F"/>
      <sheetName val="ANALÍTICA ESTADO DE RESULTAD"/>
      <sheetName val="MATERIALIDAD FINANCIERA"/>
      <sheetName val="HALLAZGOS OPINIÓN_FIN"/>
      <sheetName val="DESEMPEÑO FINANCIERO"/>
      <sheetName val="ANALÍTICA PRESUPUESTAL"/>
      <sheetName val="MATERIALIDAD PRESUPUESTAL"/>
      <sheetName val="HALLAZGOS CONCEPTO_PRES"/>
      <sheetName val="PLANES Y PROYECTOS"/>
      <sheetName val="PLAN ESTRATÉGICO"/>
      <sheetName val="ANALÍTICAS GASTO PÚBLICO"/>
      <sheetName val="MATERIALIDAD GASTO PÚBLICO"/>
      <sheetName val="CALIFICACIÓN GASTO PÚBLICO"/>
      <sheetName val="Lista consolidado macro"/>
    </sheetNames>
    <sheetDataSet>
      <sheetData sheetId="0"/>
      <sheetData sheetId="1"/>
      <sheetData sheetId="2"/>
      <sheetData sheetId="3"/>
      <sheetData sheetId="4">
        <row r="12">
          <cell r="A12">
            <v>1105</v>
          </cell>
          <cell r="B12" t="str">
            <v>CAJA</v>
          </cell>
          <cell r="C12">
            <v>10000000</v>
          </cell>
        </row>
        <row r="13">
          <cell r="A13">
            <v>1110</v>
          </cell>
          <cell r="B13" t="str">
            <v>DEPOSITOS EN INSTITUCIONES FINANCIERAS</v>
          </cell>
          <cell r="C13">
            <v>170192789315</v>
          </cell>
        </row>
        <row r="14">
          <cell r="A14">
            <v>1132</v>
          </cell>
          <cell r="B14" t="str">
            <v>EFECTIVO DE USO RESTRINGIDO</v>
          </cell>
          <cell r="C14">
            <v>78450000</v>
          </cell>
        </row>
        <row r="15">
          <cell r="A15">
            <v>1223</v>
          </cell>
          <cell r="B15" t="str">
            <v>INVERSIONES DE ADMINISTRACION DE LIQUIDEZ A COSTO</v>
          </cell>
          <cell r="C15">
            <v>0</v>
          </cell>
        </row>
        <row r="16">
          <cell r="A16">
            <v>1224</v>
          </cell>
          <cell r="B16" t="str">
            <v>INVERSIONES DE ADMINISTRACION DE LIQUIDEZ AL COSTO</v>
          </cell>
          <cell r="C16">
            <v>20528265006</v>
          </cell>
        </row>
        <row r="17">
          <cell r="A17">
            <v>1311</v>
          </cell>
          <cell r="B17" t="str">
            <v>INGRESOS NO TRIBUTARIOS</v>
          </cell>
          <cell r="C17">
            <v>26491885289</v>
          </cell>
        </row>
        <row r="18">
          <cell r="A18">
            <v>1337</v>
          </cell>
          <cell r="B18" t="str">
            <v>TRANSFERENCIAS POR COBRAR</v>
          </cell>
          <cell r="C18">
            <v>153887160072</v>
          </cell>
        </row>
        <row r="19">
          <cell r="A19">
            <v>1338</v>
          </cell>
          <cell r="B19" t="str">
            <v>SENTENCIAS A FAVOR DE LA ENTIDAD</v>
          </cell>
          <cell r="C19">
            <v>1192186</v>
          </cell>
        </row>
        <row r="20">
          <cell r="A20">
            <v>1384</v>
          </cell>
          <cell r="B20" t="str">
            <v>OTRAS CUENTAS POR COBRAR</v>
          </cell>
          <cell r="C20">
            <v>74910477330</v>
          </cell>
        </row>
        <row r="21">
          <cell r="A21">
            <v>1386</v>
          </cell>
          <cell r="B21" t="str">
            <v>DETERIORO ACUMULADO DE CUENTAS POR COBRAR (CR)</v>
          </cell>
          <cell r="C21">
            <v>-12951200774</v>
          </cell>
        </row>
        <row r="22">
          <cell r="A22">
            <v>1510</v>
          </cell>
          <cell r="B22" t="str">
            <v>MERCANCÍAS EN EXISTENCIA</v>
          </cell>
          <cell r="C22">
            <v>7543221116</v>
          </cell>
        </row>
        <row r="23">
          <cell r="A23">
            <v>1530</v>
          </cell>
          <cell r="B23" t="str">
            <v>EN PODER DE TERCEROS</v>
          </cell>
          <cell r="C23">
            <v>310778100</v>
          </cell>
        </row>
        <row r="24">
          <cell r="A24">
            <v>1580</v>
          </cell>
          <cell r="B24" t="str">
            <v>DETERIORO ACUMULADO DE INVENTARIOS (CR)</v>
          </cell>
          <cell r="C24">
            <v>-130971089</v>
          </cell>
        </row>
        <row r="25">
          <cell r="A25">
            <v>1605</v>
          </cell>
          <cell r="B25" t="str">
            <v>TERRENOS</v>
          </cell>
          <cell r="C25">
            <v>66177200768</v>
          </cell>
        </row>
        <row r="26">
          <cell r="A26">
            <v>1635</v>
          </cell>
          <cell r="B26" t="str">
            <v>BIENES MUEBLES EN BODEGA</v>
          </cell>
          <cell r="C26">
            <v>0</v>
          </cell>
        </row>
        <row r="27">
          <cell r="A27">
            <v>1637</v>
          </cell>
          <cell r="B27" t="str">
            <v>PROPIEDADES, PLANTA Y EQUIPO NO EXPLOTADOS</v>
          </cell>
          <cell r="C27">
            <v>7400614696</v>
          </cell>
        </row>
        <row r="28">
          <cell r="A28">
            <v>1640</v>
          </cell>
          <cell r="B28" t="str">
            <v>EDIFICACIONES</v>
          </cell>
          <cell r="C28">
            <v>30485226072</v>
          </cell>
        </row>
        <row r="29">
          <cell r="A29">
            <v>1650</v>
          </cell>
          <cell r="B29" t="str">
            <v>REDES, LINEAS Y CABLES</v>
          </cell>
          <cell r="C29">
            <v>873842885</v>
          </cell>
        </row>
        <row r="30">
          <cell r="A30">
            <v>1655</v>
          </cell>
          <cell r="B30" t="str">
            <v>MAQUINARIA Y EQUIPO</v>
          </cell>
          <cell r="C30">
            <v>2159364527</v>
          </cell>
        </row>
        <row r="31">
          <cell r="A31">
            <v>1660</v>
          </cell>
          <cell r="B31" t="str">
            <v>EQUIPO MEDICO Y CIENTIFICO</v>
          </cell>
          <cell r="C31">
            <v>14775626</v>
          </cell>
        </row>
        <row r="32">
          <cell r="A32">
            <v>1665</v>
          </cell>
          <cell r="B32" t="str">
            <v>MUEBLES, ENSERES Y EQUIPO DE OFICINA</v>
          </cell>
          <cell r="C32">
            <v>2983554281</v>
          </cell>
        </row>
        <row r="33">
          <cell r="A33">
            <v>1670</v>
          </cell>
          <cell r="B33" t="str">
            <v>EQUIPOS DE COMUNICACIÓN Y COMPUTACIÓN</v>
          </cell>
          <cell r="C33">
            <v>21013404288</v>
          </cell>
        </row>
        <row r="34">
          <cell r="A34">
            <v>1675</v>
          </cell>
          <cell r="B34" t="str">
            <v>EQUIPOS DE TRANSPORTE, TRACCION Y ELEVACION</v>
          </cell>
          <cell r="C34">
            <v>2861184669</v>
          </cell>
        </row>
        <row r="35">
          <cell r="A35">
            <v>1680</v>
          </cell>
          <cell r="B35" t="str">
            <v>EQUIPOS DE COMEDOR, COCINA, DESPENSA Y HOTELERÍA</v>
          </cell>
          <cell r="C35">
            <v>100357270</v>
          </cell>
        </row>
        <row r="36">
          <cell r="A36">
            <v>1685</v>
          </cell>
          <cell r="B36" t="str">
            <v>DEPRECIACION ACUMULADA DE PROPIEDADES, PLANTA Y EQUIPO</v>
          </cell>
          <cell r="C36">
            <v>-28729866660</v>
          </cell>
        </row>
        <row r="37">
          <cell r="A37">
            <v>1695</v>
          </cell>
          <cell r="B37" t="str">
            <v>DETERIORO ACUMULADO DE PROPIEDADES, PLANTA Y EQUIPO</v>
          </cell>
          <cell r="C37">
            <v>-1576313006</v>
          </cell>
        </row>
        <row r="38">
          <cell r="A38">
            <v>1705</v>
          </cell>
          <cell r="B38" t="str">
            <v>BIENES DE USO PÚBLICO HISTÓRICO Y CULTURALES EN</v>
          </cell>
          <cell r="C38">
            <v>5287286580229</v>
          </cell>
        </row>
        <row r="39">
          <cell r="A39">
            <v>1710</v>
          </cell>
          <cell r="B39" t="str">
            <v>BIENES DE USO PUBLICO EN SERVICIO</v>
          </cell>
          <cell r="C39">
            <v>18187255276490</v>
          </cell>
        </row>
        <row r="40">
          <cell r="A40">
            <v>1785</v>
          </cell>
          <cell r="B40" t="str">
            <v>DEPRECIACIÓN ACUMULADA DE BIENES DE USO PÚBLICO (CR)</v>
          </cell>
          <cell r="C40">
            <v>-5684721118148</v>
          </cell>
        </row>
        <row r="41">
          <cell r="A41">
            <v>1902</v>
          </cell>
          <cell r="B41" t="str">
            <v>PLAN DE ACTIVOS PARA BENEFICIOS A EMPLEADOS A LARGO</v>
          </cell>
          <cell r="C41">
            <v>899670410</v>
          </cell>
        </row>
        <row r="42">
          <cell r="A42">
            <v>1905</v>
          </cell>
          <cell r="B42" t="str">
            <v>BIENES Y SERVICIOS PAGADOS POR ANTICIPADO</v>
          </cell>
          <cell r="C42">
            <v>0</v>
          </cell>
        </row>
        <row r="43">
          <cell r="A43">
            <v>1906</v>
          </cell>
          <cell r="B43" t="str">
            <v>AVANCES Y ANTICIPOS ENTREGADOS</v>
          </cell>
          <cell r="C43">
            <v>224544894700</v>
          </cell>
        </row>
        <row r="44">
          <cell r="A44">
            <v>1907</v>
          </cell>
          <cell r="B44" t="str">
            <v xml:space="preserve">DERECHOS DE COMPENSACIONES POR IMPUESTOS Y RECURSOS </v>
          </cell>
          <cell r="C44">
            <v>31679447</v>
          </cell>
        </row>
        <row r="45">
          <cell r="A45">
            <v>1908</v>
          </cell>
          <cell r="B45" t="str">
            <v>ENTREGADOS EN ADMINISTRACION</v>
          </cell>
          <cell r="C45">
            <v>1294505324890</v>
          </cell>
        </row>
        <row r="46">
          <cell r="A46">
            <v>1909</v>
          </cell>
          <cell r="B46" t="str">
            <v>DEPÓSITOS ENTREGADOS EN GARANTÍA</v>
          </cell>
          <cell r="C46">
            <v>1039649688</v>
          </cell>
        </row>
        <row r="47">
          <cell r="A47">
            <v>1970</v>
          </cell>
          <cell r="B47" t="str">
            <v>ACTIVOS INTANGIBLES</v>
          </cell>
          <cell r="C47">
            <v>24111493548</v>
          </cell>
        </row>
        <row r="48">
          <cell r="A48">
            <v>1975</v>
          </cell>
          <cell r="B48" t="str">
            <v>AMORTIZACION ACUMULADA DE ACTIVOS INTANGIBLES (CR)</v>
          </cell>
          <cell r="C48">
            <v>-6170109053</v>
          </cell>
        </row>
        <row r="49">
          <cell r="A49">
            <v>1976</v>
          </cell>
          <cell r="B49" t="str">
            <v>DETERIORO ACUMULADO DE ACTIVOS INTANGIBLES (CR)</v>
          </cell>
          <cell r="C49">
            <v>-108842941</v>
          </cell>
        </row>
        <row r="50">
          <cell r="A50">
            <v>1986</v>
          </cell>
          <cell r="B50" t="str">
            <v>ACTIVOS DIFERIDOS</v>
          </cell>
          <cell r="C50">
            <v>862075020</v>
          </cell>
        </row>
        <row r="52">
          <cell r="A52">
            <v>2401</v>
          </cell>
          <cell r="B52" t="str">
            <v>ADQUISICION DE BIENES Y SERVICIOS NACIONALES</v>
          </cell>
          <cell r="C52">
            <v>51765649</v>
          </cell>
        </row>
        <row r="53">
          <cell r="A53">
            <v>2407</v>
          </cell>
          <cell r="B53" t="str">
            <v>RECURSOS A FAVOR DE TERCEROS</v>
          </cell>
          <cell r="C53">
            <v>8683851651</v>
          </cell>
        </row>
        <row r="54">
          <cell r="A54">
            <v>2424</v>
          </cell>
          <cell r="B54" t="str">
            <v>DESCUENTOS DE NOMINA</v>
          </cell>
          <cell r="C54">
            <v>490375544</v>
          </cell>
        </row>
        <row r="55">
          <cell r="A55">
            <v>2436</v>
          </cell>
          <cell r="B55" t="str">
            <v>RETENCION EN LA FUENTE E IMPUESTO DE TIMBRE</v>
          </cell>
          <cell r="C55">
            <v>11259374076</v>
          </cell>
        </row>
        <row r="56">
          <cell r="A56">
            <v>2440</v>
          </cell>
          <cell r="B56" t="str">
            <v>IMPUESTOS, CONTRIBUCIONES Y TASAS POR PAGAR</v>
          </cell>
          <cell r="C56">
            <v>430775197</v>
          </cell>
        </row>
        <row r="57">
          <cell r="A57">
            <v>2460</v>
          </cell>
          <cell r="B57" t="str">
            <v>CRÉDITOS JUDICIALES</v>
          </cell>
          <cell r="C57">
            <v>0</v>
          </cell>
        </row>
        <row r="58">
          <cell r="A58">
            <v>2490</v>
          </cell>
          <cell r="B58" t="str">
            <v>OTRAS CUENTAS POR PAGAR</v>
          </cell>
          <cell r="C58">
            <v>7607587639</v>
          </cell>
        </row>
        <row r="59">
          <cell r="A59">
            <v>2511</v>
          </cell>
          <cell r="B59" t="str">
            <v>BENEFICIOS A LOS EMPLEADOS A CORTO PLAZO</v>
          </cell>
          <cell r="C59">
            <v>22262078907</v>
          </cell>
        </row>
        <row r="60">
          <cell r="A60">
            <v>2512</v>
          </cell>
          <cell r="B60" t="str">
            <v>BENEFICIOS A LOS EMPLEADOS A LARGO PLAZO</v>
          </cell>
          <cell r="C60">
            <v>4400756071</v>
          </cell>
        </row>
        <row r="61">
          <cell r="A61">
            <v>2701</v>
          </cell>
          <cell r="B61" t="str">
            <v>LITIGIOS Y DEMANDAS</v>
          </cell>
          <cell r="C61">
            <v>61629520497</v>
          </cell>
        </row>
        <row r="62">
          <cell r="A62">
            <v>2901</v>
          </cell>
          <cell r="B62" t="str">
            <v>AVANCES Y ANTICIPOS RECIBIDOS</v>
          </cell>
          <cell r="C62">
            <v>1676078052</v>
          </cell>
        </row>
        <row r="63">
          <cell r="A63">
            <v>2902</v>
          </cell>
          <cell r="B63" t="str">
            <v>RECURSOS RECIBIDOS EN ADMINISTRACION</v>
          </cell>
          <cell r="C63">
            <v>135924845901</v>
          </cell>
        </row>
        <row r="64">
          <cell r="A64">
            <v>2903</v>
          </cell>
          <cell r="B64" t="str">
            <v>DEPÓSITOS RECIBIDOS EN GARANTÍA</v>
          </cell>
          <cell r="C64">
            <v>76450499231</v>
          </cell>
        </row>
        <row r="65">
          <cell r="A65">
            <v>2910</v>
          </cell>
          <cell r="B65" t="str">
            <v>INGRESOS RECIBIDOS POR ANTICIPADO</v>
          </cell>
          <cell r="C65">
            <v>2978015091</v>
          </cell>
        </row>
        <row r="66">
          <cell r="A66">
            <v>2990</v>
          </cell>
          <cell r="B66" t="str">
            <v>OTROS PASIVOS DIFERIDOS</v>
          </cell>
          <cell r="C66">
            <v>107085703558</v>
          </cell>
        </row>
        <row r="68">
          <cell r="A68">
            <v>3105</v>
          </cell>
          <cell r="B68" t="str">
            <v>CAPITAL FISCAL</v>
          </cell>
          <cell r="C68">
            <v>10543397789911</v>
          </cell>
        </row>
        <row r="69">
          <cell r="A69">
            <v>3109</v>
          </cell>
          <cell r="B69" t="str">
            <v>RESULTADO DE EJERCICIOS ANTERIORES</v>
          </cell>
          <cell r="C69">
            <v>7185603281659</v>
          </cell>
        </row>
        <row r="70">
          <cell r="A70">
            <v>3110</v>
          </cell>
          <cell r="B70" t="str">
            <v>RESULTADO DEL EJERCICIO</v>
          </cell>
          <cell r="C70">
            <v>1704239667613</v>
          </cell>
        </row>
      </sheetData>
      <sheetData sheetId="5">
        <row r="44">
          <cell r="C44">
            <v>2162888261649</v>
          </cell>
        </row>
        <row r="45">
          <cell r="C45">
            <v>454486780672</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A PRESUPUESTO"/>
      <sheetName val="MATERIALIDAD PRESUPUESTO"/>
      <sheetName val="INDICADORES Y HALLAZGOS "/>
      <sheetName val="Instructivo"/>
      <sheetName val="LISTAS"/>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ÁLISIS"/>
      <sheetName val="FENECIMIENTO_PUBLICAS"/>
      <sheetName val="Riesgos general"/>
      <sheetName val="LISTA"/>
      <sheetName val="Riesgo muestra"/>
      <sheetName val="LISTAS"/>
      <sheetName val="2. RIESGOS DE AUDITORÍA"/>
      <sheetName val="Hoja1"/>
      <sheetName val="1. ANALÍTICA ESTADO SITUACIÓN F"/>
      <sheetName val="2. ANALÍTICA ESTADO DE RESULTAD"/>
      <sheetName val="3.MATERIALIDAD FINANCIERA"/>
      <sheetName val="4. MATERIALIDAD PRESUPUESTAL"/>
      <sheetName val="ANALÍTICAS GASTO PÚBLICO"/>
      <sheetName val="MATERIALIDAD GASTO PÚBLICO"/>
      <sheetName val="CALIFICACION GASTO PUBLICO"/>
      <sheetName val="6. PLANES Y PROYECTOS"/>
      <sheetName val="PT 09-AF MATERIALIDAD EF MCGR"/>
      <sheetName val="LISTA MATERIALIDAD CGR"/>
      <sheetName val="PT 10-AF A.HALLAZGOS OPINIÓN EF"/>
      <sheetName val="3. MATERIALIDAD FINANCIERA"/>
      <sheetName val="7. HALLAZGOS OPINIÓN_FIN"/>
      <sheetName val="8. DESEMPEÑO FINANCIERO"/>
      <sheetName val="Listas PPTO"/>
      <sheetName val="9. HALLAZGOS CONCEPTO_PRES"/>
      <sheetName val="GESTIÓN CONTRACTUAL_MIXTAS"/>
      <sheetName val="GESTIÓN CONTRACTUAL_PÚBLICAS"/>
      <sheetName val="10. GESTION FINANCIERA PUBLICAS"/>
      <sheetName val="Control"/>
      <sheetName val="Riesgos CB"/>
      <sheetName val="1. RIESGOS Y CONTROLES"/>
      <sheetName val="10. FENECIMIENTO"/>
      <sheetName val="FENECIMIENTO CUENTA"/>
      <sheetName val="11.Referencia - Marcas "/>
      <sheetName val="PLAN ESTRATÉGICO - MIXTAS"/>
      <sheetName val="GESTION FINANCIERA MIXTAS"/>
      <sheetName val="PVCGF- 04-13 Instrumento para 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TICA PRESUPUESTO"/>
      <sheetName val="MATERIALIDAD PRESUPUESTO"/>
      <sheetName val="INDICADORES Y HALLAZGOS "/>
      <sheetName val="Instructivo"/>
      <sheetName val="LISTAS"/>
      <sheetName val="PVCGF-04-06 Procesos presupue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olga yolanda pinzon zapata" id="{942FD41F-4206-4D99-99BE-041C37F4D8F8}" userId="a92ea1d936ca3898" providerId="Windows Live"/>
</personList>
</file>

<file path=xl/tables/table1.xml><?xml version="1.0" encoding="utf-8"?>
<table xmlns="http://schemas.openxmlformats.org/spreadsheetml/2006/main" id="14" name="TablaSujetos215" displayName="TablaSujetos215" ref="R2:V96" totalsRowShown="0" headerRowDxfId="374" dataDxfId="373">
  <autoFilter ref="R2:V96"/>
  <sortState ref="R3:U95">
    <sortCondition ref="R3:R95"/>
  </sortState>
  <tableColumns count="5">
    <tableColumn id="1" name="Sujeto de Control" dataDxfId="372"/>
    <tableColumn id="2" name="TIPO DE MATRIZ_x000a_(Identificación de la matriz a aplicar)" dataDxfId="371"/>
    <tableColumn id="3" name="TIPO_ENTIDAD" dataDxfId="370"/>
    <tableColumn id="4" name="Columna1" dataDxfId="369"/>
    <tableColumn id="5" name="Columna2" dataDxfId="368"/>
  </tableColumns>
  <tableStyleInfo name="TableStyleMedium2" showFirstColumn="0" showLastColumn="0" showRowStripes="1" showColumnStripes="0"/>
</table>
</file>

<file path=xl/tables/table2.xml><?xml version="1.0" encoding="utf-8"?>
<table xmlns="http://schemas.openxmlformats.org/spreadsheetml/2006/main" id="15" name="TablaProcesos516" displayName="TablaProcesos516" ref="W7:AE15" totalsRowShown="0">
  <tableColumns count="9">
    <tableColumn id="1" name="PROCESO" dataDxfId="367"/>
    <tableColumn id="7" name="PUBLICA con ing" dataDxfId="366" dataCellStyle="Porcentaje"/>
    <tableColumn id="8" name="PUBLICA sin ing" dataDxfId="365" dataCellStyle="Porcentaje"/>
    <tableColumn id="2" name="PUBLICA" dataDxfId="364" dataCellStyle="Porcentaje"/>
    <tableColumn id="6" name="MIXTA&gt;50 sin Ing" dataDxfId="363" dataCellStyle="Porcentaje"/>
    <tableColumn id="3" name="MIXTA&gt;50" dataDxfId="362" dataCellStyle="Porcentaje"/>
    <tableColumn id="4" name="MIXTA&lt;50" dataDxfId="361" dataCellStyle="Porcentaje"/>
    <tableColumn id="5" name="CORPORACION" dataDxfId="360"/>
    <tableColumn id="9" name="CONCEJO" dataDxfId="359"/>
  </tableColumns>
  <tableStyleInfo name="TableStyleMedium2" showFirstColumn="0" showLastColumn="0" showRowStripes="1" showColumnStripes="0"/>
</table>
</file>

<file path=xl/tables/table3.xml><?xml version="1.0" encoding="utf-8"?>
<table xmlns="http://schemas.openxmlformats.org/spreadsheetml/2006/main" id="16" name="TablaMacroprocesos43817" displayName="TablaMacroprocesos43817" ref="W2:AA5" totalsRowShown="0" tableBorderDxfId="358">
  <tableColumns count="5">
    <tableColumn id="1" name="MACROPROCESO" dataDxfId="357"/>
    <tableColumn id="2" name="PUBLICA" dataDxfId="356" dataCellStyle="Porcentaje"/>
    <tableColumn id="3" name="MIXTA&gt;50" dataDxfId="355" dataCellStyle="Porcentaje"/>
    <tableColumn id="4" name="MIXTA&lt;50" dataDxfId="354" dataCellStyle="Porcentaje"/>
    <tableColumn id="5" name="CORPORACION" dataDxfId="353"/>
  </tableColumns>
  <tableStyleInfo name="TableStyleMedium2" showFirstColumn="0" showLastColumn="0" showRowStripes="1" showColumnStripes="0"/>
</table>
</file>

<file path=xl/tables/table4.xml><?xml version="1.0" encoding="utf-8"?>
<table xmlns="http://schemas.openxmlformats.org/spreadsheetml/2006/main" id="17" name="ConceptoPresupuesto235" displayName="ConceptoPresupuesto235" ref="AV2:AW9" totalsRowShown="0" headerRowDxfId="352" dataDxfId="351">
  <autoFilter ref="AV2:AW9"/>
  <tableColumns count="2">
    <tableColumn id="1" name="CONCEPTO" dataDxfId="350"/>
    <tableColumn id="2" name="CALIFICACION" dataDxfId="349"/>
  </tableColumns>
  <tableStyleInfo name="TableStyleMedium9" showFirstColumn="0" showLastColumn="0" showRowStripes="1" showColumnStripes="0"/>
</table>
</file>

<file path=xl/tables/table5.xml><?xml version="1.0" encoding="utf-8"?>
<table xmlns="http://schemas.openxmlformats.org/spreadsheetml/2006/main" id="1" name="Hallazgos_anterior" displayName="Hallazgos_anterior" ref="I57:J62" totalsRowShown="0" headerRowDxfId="348" dataDxfId="347">
  <autoFilter ref="I57:J62"/>
  <tableColumns count="2">
    <tableColumn id="1" name="Hallazgos vigencias anteriores?" dataDxfId="346"/>
    <tableColumn id="2" name="VALOR" dataDxfId="345"/>
  </tableColumns>
  <tableStyleInfo name="TableStyleMedium2" showFirstColumn="0" showLastColumn="0" showRowStripes="1" showColumnStripes="0"/>
</table>
</file>

<file path=xl/tables/table6.xml><?xml version="1.0" encoding="utf-8"?>
<table xmlns="http://schemas.openxmlformats.org/spreadsheetml/2006/main" id="6" name="Concepto_anterior" displayName="Concepto_anterior" ref="L57:M62" totalsRowShown="0" headerRowDxfId="344" dataDxfId="343">
  <autoFilter ref="L57:M62"/>
  <tableColumns count="2">
    <tableColumn id="1" name="Conceptos Gasto vigencia anterior" dataDxfId="342"/>
    <tableColumn id="2" name="VALOR" dataDxfId="341"/>
  </tableColumns>
  <tableStyleInfo name="TableStyleMedium2" showFirstColumn="0" showLastColumn="0" showRowStripes="1" showColumnStripes="0"/>
</table>
</file>

<file path=xl/tables/table7.xml><?xml version="1.0" encoding="utf-8"?>
<table xmlns="http://schemas.openxmlformats.org/spreadsheetml/2006/main" id="7" name="Riesgo_residual" displayName="Riesgo_residual" ref="I65:J69" totalsRowShown="0" headerRowDxfId="340" dataDxfId="339">
  <autoFilter ref="I65:J69"/>
  <tableColumns count="2">
    <tableColumn id="1" name="Riesgo Residual período auditado" dataDxfId="338"/>
    <tableColumn id="2" name="VALOR" dataDxfId="337"/>
  </tableColumns>
  <tableStyleInfo name="TableStyleMedium2" showFirstColumn="0" showLastColumn="0" showRowStripes="1" showColumnStripes="0"/>
</table>
</file>

<file path=xl/tables/table8.xml><?xml version="1.0" encoding="utf-8"?>
<table xmlns="http://schemas.openxmlformats.org/spreadsheetml/2006/main" id="8" name="Diseño_Control" displayName="Diseño_Control" ref="L65:M70" totalsRowShown="0" headerRowDxfId="336" dataDxfId="335">
  <autoFilter ref="L65:M70"/>
  <tableColumns count="2">
    <tableColumn id="1" name="Calificación CFI - Gasto Público" dataDxfId="334"/>
    <tableColumn id="2" name="VALOR" dataDxfId="333"/>
  </tableColumns>
  <tableStyleInfo name="TableStyleMedium2" showFirstColumn="0" showLastColumn="0" showRowStripes="1" showColumnStripes="0"/>
</table>
</file>

<file path=xl/tables/table9.xml><?xml version="1.0" encoding="utf-8"?>
<table xmlns="http://schemas.openxmlformats.org/spreadsheetml/2006/main" id="9" name="TablaMuestra" displayName="TablaMuestra" ref="I71:O74" totalsRowShown="0" headerRowDxfId="332" dataDxfId="331">
  <autoFilter ref="I71:O74"/>
  <tableColumns count="7">
    <tableColumn id="1" name="Mínimo con Concepto Vig Anterior" dataDxfId="330"/>
    <tableColumn id="2" name="Mínimo SIN Concepto Vig Anterior" dataDxfId="329"/>
    <tableColumn id="3" name="Riesgo de Control" dataDxfId="328"/>
    <tableColumn id="5" name="MATERIALIDAD" dataDxfId="327"/>
    <tableColumn id="4" name="Muestra Mín" dataDxfId="326"/>
    <tableColumn id="6" name="Materialidad Relativa a la Muestra" dataDxfId="325"/>
    <tableColumn id="7" name="Parametro Minimo Concepto" dataDxfId="324">
      <calculatedColumnFormula>100%-TablaMuestra[[#This Row],[Materialidad Relativa a la Muestra]]</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id="20" name="TablaMaxCalifPos" displayName="TablaMaxCalifPos" ref="F101:I110" totalsRowShown="0" headerRowDxfId="323" dataDxfId="321" headerRowBorderDxfId="322" tableBorderDxfId="320" headerRowCellStyle="Normal 7">
  <autoFilter ref="F101:I110"/>
  <tableColumns count="4">
    <tableColumn id="1" name="RESULTADO DEL EJERCICIO AUDITOR" dataDxfId="319" dataCellStyle="Normal 7"/>
    <tableColumn id="2" name="BAJO" dataDxfId="318" dataCellStyle="Normal 7"/>
    <tableColumn id="3" name="MEDIO" dataDxfId="317" dataCellStyle="Normal 7"/>
    <tableColumn id="4" name="ALTO" dataDxfId="316" dataCellStyle="Normal 7"/>
  </tableColumns>
  <tableStyleInfo name="TableStyleMedium2" showFirstColumn="0" showLastColumn="0" showRowStripes="1" showColumnStripes="0"/>
</table>
</file>

<file path=xl/tables/table11.xml><?xml version="1.0" encoding="utf-8"?>
<table xmlns="http://schemas.openxmlformats.org/spreadsheetml/2006/main" id="21" name="TablaMoneda" displayName="TablaMoneda" ref="B92:B94" totalsRowShown="0" headerRowDxfId="315" dataDxfId="314" headerRowCellStyle="Normal 5" dataCellStyle="Normal 5">
  <autoFilter ref="B92:B94"/>
  <tableColumns count="1">
    <tableColumn id="1" name="TIPO DE MONEDA" dataDxfId="313" dataCellStyle="Normal 5"/>
  </tableColumns>
  <tableStyleInfo name="TableStyleMedium2" showFirstColumn="0" showLastColumn="0" showRowStripes="1" showColumnStripes="0"/>
</table>
</file>

<file path=xl/tables/table12.xml><?xml version="1.0" encoding="utf-8"?>
<table xmlns="http://schemas.openxmlformats.org/spreadsheetml/2006/main" id="22" name="TablaConcepto" displayName="TablaConcepto" ref="F95:I98" totalsRowShown="0" headerRowDxfId="312" dataDxfId="311" headerRowCellStyle="Millares 4">
  <autoFilter ref="F95:I98"/>
  <tableColumns count="4">
    <tableColumn id="1" name="BAJO" dataDxfId="310"/>
    <tableColumn id="2" name="MEDIO" dataDxfId="309"/>
    <tableColumn id="3" name="ALTO" dataDxfId="308"/>
    <tableColumn id="4" name="Concepto" dataDxfId="307" dataCellStyle="Millares 4"/>
  </tableColumns>
  <tableStyleInfo name="TableStyleMedium2" showFirstColumn="0" showLastColumn="0" showRowStripes="1" showColumnStripes="0"/>
</table>
</file>

<file path=xl/tables/table13.xml><?xml version="1.0" encoding="utf-8"?>
<table xmlns="http://schemas.openxmlformats.org/spreadsheetml/2006/main" id="23" name="Dependencias" displayName="Dependencias" ref="C65379:E65414" totalsRowShown="0" headerRowDxfId="306" dataDxfId="304" headerRowBorderDxfId="305" tableBorderDxfId="303" totalsRowBorderDxfId="302">
  <autoFilter ref="C65379:E65414"/>
  <sortState ref="C65380:E65414">
    <sortCondition ref="E65381:E65416"/>
  </sortState>
  <tableColumns count="3">
    <tableColumn id="1" name="CÓDIGO" dataDxfId="301"/>
    <tableColumn id="2" name="DEPENDENCIA" dataDxfId="300"/>
    <tableColumn id="3" name="CONCATENADO" dataDxfId="299" dataCellStyle="Millares 4">
      <calculatedColumnFormula>CONCATENATE(Dependencias[[#This Row],[CÓDIGO]]," - ",Dependencias[[#This Row],[DEPENDENCIA]])</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id="24" name="Tabla11" displayName="Tabla11" ref="A65378:A65476" totalsRowShown="0" headerRowDxfId="298" dataDxfId="296" headerRowBorderDxfId="297" tableBorderDxfId="295" headerRowCellStyle="Normal_Hoja1" dataCellStyle="Normal_Hoja1">
  <autoFilter ref="A65378:A65476"/>
  <sortState ref="A65379:A65476">
    <sortCondition ref="A65381:A65479"/>
  </sortState>
  <tableColumns count="1">
    <tableColumn id="1" name="Sujetos de Control Fiscal" dataDxfId="294" dataCellStyle="Normal_Hoja1"/>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8" dT="2024-11-15T13:23:35.48" personId="{942FD41F-4206-4D99-99BE-041C37F4D8F8}" id="{B83077C8-393B-4D90-9BB8-29A66010062B}">
    <text xml:space="preserve">Si no es posible cumplir con el tamaño mínimo de la muestra, dejar justificación en el Plan de Trabajo.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8" Type="http://schemas.openxmlformats.org/officeDocument/2006/relationships/table" Target="../tables/table5.xml"/><Relationship Id="rId13" Type="http://schemas.openxmlformats.org/officeDocument/2006/relationships/comments" Target="../comments6.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table" Target="../tables/table9.xml"/><Relationship Id="rId2" Type="http://schemas.openxmlformats.org/officeDocument/2006/relationships/drawing" Target="../drawings/drawing1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table" Target="../tables/table8.xml"/><Relationship Id="rId5" Type="http://schemas.openxmlformats.org/officeDocument/2006/relationships/ctrlProp" Target="../ctrlProps/ctrlProp2.xml"/><Relationship Id="rId10" Type="http://schemas.openxmlformats.org/officeDocument/2006/relationships/table" Target="../tables/table7.xml"/><Relationship Id="rId4" Type="http://schemas.openxmlformats.org/officeDocument/2006/relationships/ctrlProp" Target="../ctrlProps/ctrlProp1.xml"/><Relationship Id="rId9" Type="http://schemas.openxmlformats.org/officeDocument/2006/relationships/table" Target="../tables/table6.xml"/><Relationship Id="rId14" Type="http://schemas.microsoft.com/office/2017/10/relationships/threadedComment" Target="../threadedComments/threadedComment1.xml"/></Relationships>
</file>

<file path=xl/worksheets/_rels/sheet17.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table" Target="../tables/table10.xml"/><Relationship Id="rId7" Type="http://schemas.openxmlformats.org/officeDocument/2006/relationships/table" Target="../tables/table14.xml"/><Relationship Id="rId2" Type="http://schemas.openxmlformats.org/officeDocument/2006/relationships/vmlDrawing" Target="../drawings/vmlDrawing7.vml"/><Relationship Id="rId1" Type="http://schemas.openxmlformats.org/officeDocument/2006/relationships/drawing" Target="../drawings/drawing15.xm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0"/>
  <sheetViews>
    <sheetView topLeftCell="R1" workbookViewId="0">
      <selection activeCell="W12" sqref="W12"/>
    </sheetView>
  </sheetViews>
  <sheetFormatPr baseColWidth="10" defaultColWidth="11.44140625" defaultRowHeight="14.4" x14ac:dyDescent="0.3"/>
  <cols>
    <col min="2" max="2" width="11.44140625" customWidth="1"/>
    <col min="3" max="3" width="43.6640625" customWidth="1"/>
    <col min="4" max="4" width="66.109375" customWidth="1"/>
    <col min="6" max="6" width="81.6640625" customWidth="1"/>
    <col min="7" max="7" width="27.33203125" customWidth="1"/>
    <col min="8" max="8" width="51.33203125" customWidth="1"/>
    <col min="9" max="9" width="17.109375" customWidth="1"/>
    <col min="12" max="12" width="22.6640625" customWidth="1"/>
    <col min="13" max="13" width="16.6640625" customWidth="1"/>
    <col min="14" max="14" width="14.33203125" customWidth="1"/>
    <col min="15" max="15" width="11.44140625" customWidth="1"/>
    <col min="16" max="17" width="31.6640625" customWidth="1"/>
    <col min="18" max="18" width="63.6640625" customWidth="1"/>
    <col min="19" max="19" width="15.6640625" customWidth="1"/>
    <col min="20" max="20" width="20.44140625" customWidth="1"/>
    <col min="21" max="21" width="17.44140625" customWidth="1"/>
    <col min="22" max="22" width="7.6640625" customWidth="1"/>
    <col min="23" max="23" width="23.44140625" customWidth="1"/>
    <col min="24" max="24" width="16.109375" customWidth="1"/>
    <col min="25" max="25" width="15.6640625" customWidth="1"/>
    <col min="26" max="26" width="16.109375" customWidth="1"/>
    <col min="27" max="27" width="15.6640625" customWidth="1"/>
    <col min="28" max="28" width="11.33203125" customWidth="1"/>
    <col min="29" max="29" width="11.44140625" customWidth="1"/>
    <col min="30" max="30" width="14.6640625" customWidth="1"/>
    <col min="31" max="31" width="15.109375" customWidth="1"/>
    <col min="34" max="34" width="25.109375" customWidth="1"/>
  </cols>
  <sheetData>
    <row r="1" spans="1:34" ht="16.5" customHeight="1" x14ac:dyDescent="0.3">
      <c r="A1" s="30"/>
      <c r="B1" s="30"/>
      <c r="C1" s="30"/>
      <c r="D1" s="30"/>
      <c r="E1" s="30"/>
      <c r="F1" s="30"/>
      <c r="G1" s="30"/>
      <c r="H1" s="30"/>
      <c r="I1" s="30"/>
      <c r="J1" s="30"/>
      <c r="K1" s="30"/>
      <c r="L1" s="30"/>
      <c r="M1" s="30"/>
      <c r="N1" s="30"/>
      <c r="O1" s="30"/>
      <c r="P1" s="30"/>
      <c r="Q1" s="30"/>
      <c r="R1" s="30"/>
    </row>
    <row r="2" spans="1:34" ht="16.5" customHeight="1" x14ac:dyDescent="0.3">
      <c r="A2" s="30"/>
      <c r="B2" s="30" t="s">
        <v>302</v>
      </c>
      <c r="C2" s="30" t="s">
        <v>303</v>
      </c>
      <c r="D2" s="30" t="s">
        <v>304</v>
      </c>
      <c r="E2" s="30"/>
      <c r="F2" s="30" t="s">
        <v>468</v>
      </c>
      <c r="G2" s="30" t="s">
        <v>469</v>
      </c>
      <c r="H2" s="30" t="s">
        <v>303</v>
      </c>
      <c r="I2" s="30" t="s">
        <v>470</v>
      </c>
      <c r="K2" s="254"/>
      <c r="L2" s="1632" t="s">
        <v>200</v>
      </c>
      <c r="M2" s="1632" t="s">
        <v>471</v>
      </c>
      <c r="N2" s="1632"/>
      <c r="O2" s="30"/>
      <c r="P2" s="255" t="s">
        <v>472</v>
      </c>
      <c r="Q2" s="256"/>
      <c r="R2" s="257" t="s">
        <v>473</v>
      </c>
      <c r="S2" s="257" t="s">
        <v>474</v>
      </c>
      <c r="T2" s="257" t="s">
        <v>475</v>
      </c>
      <c r="U2" s="257" t="s">
        <v>476</v>
      </c>
      <c r="V2" s="257" t="s">
        <v>477</v>
      </c>
      <c r="W2" s="258" t="s">
        <v>478</v>
      </c>
      <c r="X2" s="259" t="s">
        <v>479</v>
      </c>
      <c r="Y2" s="259" t="s">
        <v>480</v>
      </c>
      <c r="Z2" s="259" t="s">
        <v>481</v>
      </c>
      <c r="AA2" s="260" t="s">
        <v>482</v>
      </c>
    </row>
    <row r="3" spans="1:34" ht="16.5" customHeight="1" x14ac:dyDescent="0.3">
      <c r="A3" s="30"/>
      <c r="B3" s="30">
        <v>100000</v>
      </c>
      <c r="C3" s="30" t="s">
        <v>306</v>
      </c>
      <c r="D3" s="30" t="s">
        <v>483</v>
      </c>
      <c r="E3" s="30"/>
      <c r="F3" s="30" t="s">
        <v>484</v>
      </c>
      <c r="G3" s="30" t="s">
        <v>485</v>
      </c>
      <c r="H3" s="30" t="s">
        <v>486</v>
      </c>
      <c r="I3" s="30" t="s">
        <v>487</v>
      </c>
      <c r="K3" s="254"/>
      <c r="L3" s="1632"/>
      <c r="M3" s="261" t="s">
        <v>488</v>
      </c>
      <c r="N3" s="261" t="s">
        <v>489</v>
      </c>
      <c r="P3" s="262" t="s">
        <v>470</v>
      </c>
      <c r="Q3" s="263" t="s">
        <v>490</v>
      </c>
      <c r="R3" s="30" t="s">
        <v>484</v>
      </c>
      <c r="S3" s="30" t="s">
        <v>491</v>
      </c>
      <c r="T3" s="264" t="s">
        <v>492</v>
      </c>
      <c r="U3" s="30" t="s">
        <v>493</v>
      </c>
      <c r="V3" s="30" t="s">
        <v>494</v>
      </c>
      <c r="W3" s="258" t="s">
        <v>495</v>
      </c>
      <c r="X3" s="265">
        <v>0.35</v>
      </c>
      <c r="Y3" s="265">
        <v>0.45</v>
      </c>
      <c r="Z3" s="266">
        <v>0.6</v>
      </c>
      <c r="AA3" s="266">
        <v>0.6</v>
      </c>
    </row>
    <row r="4" spans="1:34" ht="16.5" customHeight="1" x14ac:dyDescent="0.3">
      <c r="A4" s="30"/>
      <c r="B4" s="30">
        <v>110000</v>
      </c>
      <c r="C4" s="30" t="s">
        <v>308</v>
      </c>
      <c r="D4" s="30" t="s">
        <v>496</v>
      </c>
      <c r="E4" s="30"/>
      <c r="F4" s="30" t="s">
        <v>497</v>
      </c>
      <c r="G4" s="30" t="s">
        <v>485</v>
      </c>
      <c r="H4" s="30" t="s">
        <v>498</v>
      </c>
      <c r="I4" s="30" t="s">
        <v>487</v>
      </c>
      <c r="K4" s="254"/>
      <c r="L4" s="267" t="s">
        <v>499</v>
      </c>
      <c r="M4" s="268">
        <v>0.75</v>
      </c>
      <c r="N4" s="268">
        <v>1</v>
      </c>
      <c r="O4" s="30"/>
      <c r="P4" s="262" t="s">
        <v>500</v>
      </c>
      <c r="Q4" s="269"/>
      <c r="R4" s="30" t="s">
        <v>497</v>
      </c>
      <c r="S4" s="30" t="s">
        <v>491</v>
      </c>
      <c r="T4" s="264" t="s">
        <v>492</v>
      </c>
      <c r="U4" s="30" t="s">
        <v>493</v>
      </c>
      <c r="V4" s="30"/>
      <c r="W4" s="258" t="s">
        <v>501</v>
      </c>
      <c r="X4" s="265">
        <v>0.25</v>
      </c>
      <c r="Y4" s="265">
        <v>0.15</v>
      </c>
      <c r="Z4" s="265" t="s">
        <v>1449</v>
      </c>
      <c r="AA4" s="265" t="s">
        <v>1449</v>
      </c>
    </row>
    <row r="5" spans="1:34" ht="16.5" customHeight="1" x14ac:dyDescent="0.3">
      <c r="A5" s="30"/>
      <c r="B5" s="30">
        <v>12000</v>
      </c>
      <c r="C5" s="30" t="s">
        <v>310</v>
      </c>
      <c r="D5" s="30" t="s">
        <v>502</v>
      </c>
      <c r="E5" s="30"/>
      <c r="F5" s="30" t="s">
        <v>503</v>
      </c>
      <c r="G5" s="30" t="s">
        <v>504</v>
      </c>
      <c r="H5" s="30" t="s">
        <v>496</v>
      </c>
      <c r="I5" s="270" t="s">
        <v>505</v>
      </c>
      <c r="J5" s="271"/>
      <c r="K5" s="254"/>
      <c r="L5" s="272" t="s">
        <v>289</v>
      </c>
      <c r="M5" s="268">
        <v>0.65</v>
      </c>
      <c r="N5" s="268">
        <v>0.75</v>
      </c>
      <c r="O5" s="30"/>
      <c r="P5" s="262" t="s">
        <v>506</v>
      </c>
      <c r="Q5" s="269"/>
      <c r="R5" s="30" t="s">
        <v>503</v>
      </c>
      <c r="S5" s="30" t="s">
        <v>507</v>
      </c>
      <c r="T5" s="273" t="s">
        <v>508</v>
      </c>
      <c r="U5" s="30" t="s">
        <v>509</v>
      </c>
      <c r="V5" s="30"/>
      <c r="W5" s="274" t="s">
        <v>510</v>
      </c>
      <c r="X5" s="275">
        <v>0.4</v>
      </c>
      <c r="Y5" s="275">
        <v>0.4</v>
      </c>
      <c r="Z5" s="275">
        <v>0.4</v>
      </c>
      <c r="AA5" s="275">
        <v>0.4</v>
      </c>
    </row>
    <row r="6" spans="1:34" ht="16.5" customHeight="1" x14ac:dyDescent="0.3">
      <c r="A6" s="30"/>
      <c r="B6" s="30">
        <v>120000</v>
      </c>
      <c r="C6" s="30" t="s">
        <v>312</v>
      </c>
      <c r="D6" s="30" t="s">
        <v>511</v>
      </c>
      <c r="E6" s="30"/>
      <c r="F6" s="30" t="s">
        <v>512</v>
      </c>
      <c r="G6" s="30" t="s">
        <v>513</v>
      </c>
      <c r="H6" s="30" t="s">
        <v>496</v>
      </c>
      <c r="I6" s="270" t="s">
        <v>505</v>
      </c>
      <c r="J6" s="271"/>
      <c r="K6" s="254"/>
      <c r="L6" s="267" t="s">
        <v>514</v>
      </c>
      <c r="M6" s="268">
        <v>0</v>
      </c>
      <c r="N6" s="268">
        <v>0.65</v>
      </c>
      <c r="O6" s="30"/>
      <c r="P6" s="262" t="s">
        <v>515</v>
      </c>
      <c r="Q6" s="263" t="s">
        <v>490</v>
      </c>
      <c r="R6" s="30" t="s">
        <v>512</v>
      </c>
      <c r="S6" s="30" t="s">
        <v>491</v>
      </c>
      <c r="T6" s="273" t="s">
        <v>516</v>
      </c>
      <c r="U6" s="30" t="s">
        <v>509</v>
      </c>
      <c r="V6" s="30"/>
      <c r="W6" s="274"/>
      <c r="X6" s="276"/>
      <c r="Y6" s="276"/>
      <c r="Z6" s="277"/>
      <c r="AA6" s="277"/>
      <c r="AB6" s="277"/>
      <c r="AC6" s="277"/>
      <c r="AD6" s="277"/>
    </row>
    <row r="7" spans="1:34" ht="16.5" customHeight="1" x14ac:dyDescent="0.3">
      <c r="A7" s="30"/>
      <c r="B7" s="30">
        <v>12101</v>
      </c>
      <c r="C7" s="30" t="s">
        <v>314</v>
      </c>
      <c r="D7" s="30" t="s">
        <v>486</v>
      </c>
      <c r="E7" s="30"/>
      <c r="F7" s="30" t="s">
        <v>517</v>
      </c>
      <c r="G7" s="30" t="s">
        <v>513</v>
      </c>
      <c r="H7" s="30" t="s">
        <v>496</v>
      </c>
      <c r="I7" s="270" t="s">
        <v>505</v>
      </c>
      <c r="J7" s="271"/>
      <c r="K7" s="254"/>
      <c r="L7" s="267" t="s">
        <v>518</v>
      </c>
      <c r="M7" s="1633" t="s">
        <v>519</v>
      </c>
      <c r="N7" s="1633"/>
      <c r="O7" s="30"/>
      <c r="P7" s="278" t="s">
        <v>520</v>
      </c>
      <c r="Q7" s="30"/>
      <c r="R7" s="30" t="s">
        <v>517</v>
      </c>
      <c r="S7" s="30" t="s">
        <v>491</v>
      </c>
      <c r="T7" s="273" t="s">
        <v>516</v>
      </c>
      <c r="U7" s="30" t="s">
        <v>509</v>
      </c>
      <c r="V7" s="30"/>
      <c r="W7" s="279" t="s">
        <v>521</v>
      </c>
      <c r="X7" s="257" t="s">
        <v>492</v>
      </c>
      <c r="Y7" s="257" t="s">
        <v>516</v>
      </c>
      <c r="Z7" s="257" t="s">
        <v>479</v>
      </c>
      <c r="AA7" s="257" t="s">
        <v>522</v>
      </c>
      <c r="AB7" s="257" t="s">
        <v>480</v>
      </c>
      <c r="AC7" s="257" t="s">
        <v>481</v>
      </c>
      <c r="AD7" t="s">
        <v>482</v>
      </c>
      <c r="AE7" t="s">
        <v>508</v>
      </c>
      <c r="AG7" s="280" t="s">
        <v>523</v>
      </c>
      <c r="AH7" s="281" t="s">
        <v>524</v>
      </c>
    </row>
    <row r="8" spans="1:34" ht="16.5" customHeight="1" x14ac:dyDescent="0.3">
      <c r="A8" s="30"/>
      <c r="B8" s="30">
        <v>12102</v>
      </c>
      <c r="C8" s="30" t="s">
        <v>316</v>
      </c>
      <c r="D8" s="30" t="s">
        <v>525</v>
      </c>
      <c r="E8" s="30"/>
      <c r="F8" s="30" t="s">
        <v>526</v>
      </c>
      <c r="G8" s="30" t="s">
        <v>513</v>
      </c>
      <c r="H8" s="30" t="s">
        <v>496</v>
      </c>
      <c r="I8" s="30" t="s">
        <v>487</v>
      </c>
      <c r="J8" s="271"/>
      <c r="K8" s="254"/>
      <c r="L8" s="271"/>
      <c r="M8" s="271"/>
      <c r="N8" s="271"/>
      <c r="O8" s="30"/>
      <c r="P8" s="278" t="s">
        <v>527</v>
      </c>
      <c r="Q8" s="30"/>
      <c r="R8" s="30" t="s">
        <v>526</v>
      </c>
      <c r="S8" s="30" t="s">
        <v>491</v>
      </c>
      <c r="T8" s="273" t="s">
        <v>516</v>
      </c>
      <c r="U8" s="30" t="s">
        <v>509</v>
      </c>
      <c r="V8" s="30"/>
      <c r="W8" s="257" t="s">
        <v>528</v>
      </c>
      <c r="X8" s="266">
        <v>1</v>
      </c>
      <c r="Y8" s="266">
        <v>1</v>
      </c>
      <c r="Z8" s="266">
        <v>0.6</v>
      </c>
      <c r="AA8" s="266">
        <v>0.4</v>
      </c>
      <c r="AB8" s="266">
        <v>0.4</v>
      </c>
      <c r="AC8" s="266">
        <v>0.4</v>
      </c>
      <c r="AD8" s="266">
        <v>1</v>
      </c>
      <c r="AE8" s="266">
        <v>1</v>
      </c>
      <c r="AF8" s="266"/>
      <c r="AG8" t="s">
        <v>529</v>
      </c>
      <c r="AH8" t="s">
        <v>288</v>
      </c>
    </row>
    <row r="9" spans="1:34" ht="16.5" customHeight="1" x14ac:dyDescent="0.3">
      <c r="A9" s="30"/>
      <c r="B9" s="30">
        <v>12103</v>
      </c>
      <c r="C9" s="30" t="s">
        <v>318</v>
      </c>
      <c r="D9" s="30" t="s">
        <v>530</v>
      </c>
      <c r="E9" s="30"/>
      <c r="F9" s="30" t="s">
        <v>531</v>
      </c>
      <c r="G9" s="30" t="s">
        <v>485</v>
      </c>
      <c r="H9" s="30" t="s">
        <v>532</v>
      </c>
      <c r="I9" s="30" t="s">
        <v>487</v>
      </c>
      <c r="J9" s="271"/>
      <c r="K9" s="254"/>
      <c r="L9" s="271"/>
      <c r="M9" s="271"/>
      <c r="N9" s="271"/>
      <c r="O9" s="30"/>
      <c r="P9" s="30"/>
      <c r="Q9" s="30"/>
      <c r="R9" s="30" t="s">
        <v>531</v>
      </c>
      <c r="S9" s="30" t="s">
        <v>491</v>
      </c>
      <c r="T9" s="264" t="s">
        <v>492</v>
      </c>
      <c r="U9" s="30" t="s">
        <v>493</v>
      </c>
      <c r="V9" s="30"/>
      <c r="W9" s="257" t="s">
        <v>533</v>
      </c>
      <c r="X9" s="265" t="s">
        <v>1449</v>
      </c>
      <c r="Y9" s="265" t="s">
        <v>1449</v>
      </c>
      <c r="Z9" s="265">
        <v>0.4</v>
      </c>
      <c r="AA9" s="265">
        <v>0.6</v>
      </c>
      <c r="AB9" s="265">
        <v>0.6</v>
      </c>
      <c r="AC9" s="265">
        <v>0.6</v>
      </c>
      <c r="AD9" s="265" t="s">
        <v>1449</v>
      </c>
      <c r="AE9" s="265" t="s">
        <v>1449</v>
      </c>
      <c r="AF9" s="265"/>
      <c r="AG9" t="s">
        <v>534</v>
      </c>
      <c r="AH9" t="s">
        <v>290</v>
      </c>
    </row>
    <row r="10" spans="1:34" ht="16.5" customHeight="1" x14ac:dyDescent="0.3">
      <c r="A10" s="30"/>
      <c r="B10" s="30">
        <v>12104</v>
      </c>
      <c r="C10" s="30" t="s">
        <v>320</v>
      </c>
      <c r="D10" s="30" t="s">
        <v>535</v>
      </c>
      <c r="E10" s="30"/>
      <c r="F10" s="30" t="s">
        <v>536</v>
      </c>
      <c r="G10" s="30" t="s">
        <v>513</v>
      </c>
      <c r="H10" s="30" t="s">
        <v>496</v>
      </c>
      <c r="I10" s="270" t="s">
        <v>505</v>
      </c>
      <c r="J10" s="271"/>
      <c r="K10" s="254"/>
      <c r="L10" s="271"/>
      <c r="M10" s="271"/>
      <c r="N10" s="271"/>
      <c r="O10" s="30"/>
      <c r="P10" s="30"/>
      <c r="Q10" s="30"/>
      <c r="R10" s="30" t="s">
        <v>536</v>
      </c>
      <c r="S10" s="30" t="s">
        <v>491</v>
      </c>
      <c r="T10" s="273" t="s">
        <v>516</v>
      </c>
      <c r="U10" s="30" t="s">
        <v>509</v>
      </c>
      <c r="V10" s="30"/>
      <c r="W10" s="257" t="s">
        <v>537</v>
      </c>
      <c r="X10" s="265">
        <v>0.4</v>
      </c>
      <c r="Y10" s="265" t="s">
        <v>1449</v>
      </c>
      <c r="Z10" s="265">
        <v>0.4</v>
      </c>
      <c r="AA10" s="265" t="s">
        <v>1449</v>
      </c>
      <c r="AB10" s="265">
        <v>0.6</v>
      </c>
      <c r="AC10" s="265" t="s">
        <v>1449</v>
      </c>
      <c r="AD10" s="265" t="s">
        <v>1449</v>
      </c>
      <c r="AE10" s="265" t="s">
        <v>1449</v>
      </c>
      <c r="AF10" s="265"/>
      <c r="AG10" t="s">
        <v>538</v>
      </c>
      <c r="AH10" t="s">
        <v>287</v>
      </c>
    </row>
    <row r="11" spans="1:34" ht="16.5" customHeight="1" x14ac:dyDescent="0.3">
      <c r="A11" s="30"/>
      <c r="B11" s="30">
        <v>12105</v>
      </c>
      <c r="C11" s="30" t="s">
        <v>322</v>
      </c>
      <c r="D11" s="30" t="s">
        <v>539</v>
      </c>
      <c r="E11" s="30"/>
      <c r="F11" s="30" t="s">
        <v>540</v>
      </c>
      <c r="G11" s="30" t="s">
        <v>513</v>
      </c>
      <c r="H11" s="30" t="s">
        <v>541</v>
      </c>
      <c r="I11" s="30" t="s">
        <v>487</v>
      </c>
      <c r="J11" s="271"/>
      <c r="K11" s="254"/>
      <c r="L11" s="271"/>
      <c r="M11" s="271"/>
      <c r="N11" s="271"/>
      <c r="O11" s="30"/>
      <c r="P11" s="30"/>
      <c r="Q11" s="282" t="s">
        <v>406</v>
      </c>
      <c r="R11" s="30" t="s">
        <v>540</v>
      </c>
      <c r="S11" s="30" t="s">
        <v>542</v>
      </c>
      <c r="T11" s="273" t="s">
        <v>479</v>
      </c>
      <c r="U11" s="30" t="s">
        <v>493</v>
      </c>
      <c r="V11" s="30"/>
      <c r="W11" s="257" t="s">
        <v>543</v>
      </c>
      <c r="X11" s="265">
        <v>0.6</v>
      </c>
      <c r="Y11" s="265">
        <v>1</v>
      </c>
      <c r="Z11" s="265">
        <v>0.6</v>
      </c>
      <c r="AA11" s="265">
        <v>1</v>
      </c>
      <c r="AB11" s="265">
        <v>0.4</v>
      </c>
      <c r="AC11" s="265" t="s">
        <v>1449</v>
      </c>
      <c r="AD11" s="265">
        <v>1</v>
      </c>
      <c r="AE11" s="265">
        <v>1</v>
      </c>
      <c r="AF11" s="265"/>
      <c r="AG11" t="s">
        <v>544</v>
      </c>
    </row>
    <row r="12" spans="1:34" ht="16.5" customHeight="1" x14ac:dyDescent="0.3">
      <c r="A12" s="30"/>
      <c r="B12" s="30">
        <v>12106</v>
      </c>
      <c r="C12" s="30" t="s">
        <v>324</v>
      </c>
      <c r="D12" s="30" t="s">
        <v>545</v>
      </c>
      <c r="E12" s="30"/>
      <c r="F12" s="30" t="s">
        <v>546</v>
      </c>
      <c r="G12" s="30" t="s">
        <v>513</v>
      </c>
      <c r="H12" s="30" t="s">
        <v>547</v>
      </c>
      <c r="I12" s="270" t="s">
        <v>505</v>
      </c>
      <c r="J12" s="271"/>
      <c r="K12" s="254"/>
      <c r="L12" s="271"/>
      <c r="M12" s="271"/>
      <c r="N12" s="271"/>
      <c r="O12" s="30"/>
      <c r="P12" s="30"/>
      <c r="Q12" s="30"/>
      <c r="R12" s="30" t="s">
        <v>546</v>
      </c>
      <c r="S12" s="30" t="s">
        <v>491</v>
      </c>
      <c r="T12" s="273" t="s">
        <v>479</v>
      </c>
      <c r="U12" s="30" t="s">
        <v>493</v>
      </c>
      <c r="V12" s="30"/>
      <c r="W12" s="257" t="s">
        <v>1600</v>
      </c>
      <c r="X12" s="283">
        <v>0.4</v>
      </c>
      <c r="Y12" s="283">
        <v>0.4</v>
      </c>
      <c r="Z12" s="283">
        <v>0.4</v>
      </c>
      <c r="AA12" s="283">
        <v>0.3</v>
      </c>
      <c r="AB12" s="283">
        <v>0.3</v>
      </c>
      <c r="AC12" s="283">
        <v>0.3</v>
      </c>
      <c r="AD12" s="283">
        <v>0.3</v>
      </c>
      <c r="AE12" s="265" t="s">
        <v>1449</v>
      </c>
      <c r="AF12" s="283"/>
      <c r="AG12" t="s">
        <v>460</v>
      </c>
    </row>
    <row r="13" spans="1:34" ht="16.5" customHeight="1" x14ac:dyDescent="0.3">
      <c r="A13" s="30"/>
      <c r="B13" s="30">
        <v>12107</v>
      </c>
      <c r="C13" s="30" t="s">
        <v>326</v>
      </c>
      <c r="D13" s="30" t="s">
        <v>548</v>
      </c>
      <c r="E13" s="30"/>
      <c r="F13" s="30" t="s">
        <v>549</v>
      </c>
      <c r="G13" s="30" t="s">
        <v>513</v>
      </c>
      <c r="H13" s="30" t="s">
        <v>550</v>
      </c>
      <c r="I13" s="30" t="s">
        <v>487</v>
      </c>
      <c r="J13" s="271"/>
      <c r="K13" s="254"/>
      <c r="L13" s="271"/>
      <c r="M13" s="271"/>
      <c r="N13" s="271"/>
      <c r="O13" s="30"/>
      <c r="P13" s="30"/>
      <c r="Q13" s="30"/>
      <c r="R13" s="30" t="s">
        <v>549</v>
      </c>
      <c r="S13" s="30" t="s">
        <v>491</v>
      </c>
      <c r="T13" s="273" t="s">
        <v>479</v>
      </c>
      <c r="U13" s="30" t="s">
        <v>493</v>
      </c>
      <c r="V13" s="30"/>
      <c r="W13" s="257" t="s">
        <v>1600</v>
      </c>
      <c r="X13" s="283">
        <v>0.4</v>
      </c>
      <c r="Y13" s="283">
        <v>0.4</v>
      </c>
      <c r="Z13" s="283">
        <v>0.4</v>
      </c>
      <c r="AA13" s="283">
        <v>0.3</v>
      </c>
      <c r="AB13" s="283">
        <v>0.3</v>
      </c>
      <c r="AC13" s="283">
        <v>0.3</v>
      </c>
      <c r="AD13" s="283">
        <v>0.3</v>
      </c>
      <c r="AE13" s="265" t="s">
        <v>1449</v>
      </c>
      <c r="AF13" s="283"/>
    </row>
    <row r="14" spans="1:34" ht="16.5" customHeight="1" x14ac:dyDescent="0.3">
      <c r="A14" s="30"/>
      <c r="B14" s="30">
        <v>12108</v>
      </c>
      <c r="C14" s="30" t="s">
        <v>328</v>
      </c>
      <c r="D14" s="30" t="s">
        <v>551</v>
      </c>
      <c r="E14" s="30"/>
      <c r="F14" s="284" t="s">
        <v>552</v>
      </c>
      <c r="G14" s="30" t="s">
        <v>513</v>
      </c>
      <c r="H14" s="30" t="s">
        <v>483</v>
      </c>
      <c r="I14" s="270" t="s">
        <v>505</v>
      </c>
      <c r="J14" s="271"/>
      <c r="K14" s="254"/>
      <c r="L14" s="271"/>
      <c r="M14" s="271"/>
      <c r="N14" s="271"/>
      <c r="O14" s="30"/>
      <c r="P14" s="30"/>
      <c r="Q14" s="30"/>
      <c r="R14" s="285" t="s">
        <v>552</v>
      </c>
      <c r="S14" s="278" t="s">
        <v>491</v>
      </c>
      <c r="T14" s="273" t="s">
        <v>479</v>
      </c>
      <c r="U14" s="30" t="s">
        <v>493</v>
      </c>
      <c r="V14" s="30"/>
      <c r="W14" s="257" t="s">
        <v>1600</v>
      </c>
      <c r="X14" s="283">
        <v>0.4</v>
      </c>
      <c r="Y14" s="283">
        <v>0.4</v>
      </c>
      <c r="Z14" s="283">
        <v>0.4</v>
      </c>
      <c r="AA14" s="283">
        <v>0.3</v>
      </c>
      <c r="AB14" s="283">
        <v>0.3</v>
      </c>
      <c r="AC14" s="283">
        <v>0.3</v>
      </c>
      <c r="AD14" s="283">
        <v>0.3</v>
      </c>
      <c r="AE14" s="265" t="s">
        <v>1449</v>
      </c>
      <c r="AF14" s="283"/>
    </row>
    <row r="15" spans="1:34" ht="16.5" customHeight="1" x14ac:dyDescent="0.3">
      <c r="A15" s="30"/>
      <c r="B15" s="30">
        <v>12109</v>
      </c>
      <c r="C15" s="30" t="s">
        <v>330</v>
      </c>
      <c r="D15" s="30" t="s">
        <v>553</v>
      </c>
      <c r="E15" s="30"/>
      <c r="F15" s="30" t="s">
        <v>554</v>
      </c>
      <c r="G15" s="30" t="s">
        <v>513</v>
      </c>
      <c r="H15" s="30" t="s">
        <v>555</v>
      </c>
      <c r="I15" s="270" t="s">
        <v>505</v>
      </c>
      <c r="J15" s="30"/>
      <c r="K15" s="30"/>
      <c r="L15" s="30"/>
      <c r="M15" s="30"/>
      <c r="N15" s="30"/>
      <c r="O15" s="30"/>
      <c r="P15" s="30"/>
      <c r="Q15" s="30"/>
      <c r="R15" s="30" t="s">
        <v>554</v>
      </c>
      <c r="S15" s="30" t="s">
        <v>491</v>
      </c>
      <c r="T15" s="273" t="s">
        <v>516</v>
      </c>
      <c r="U15" s="30" t="s">
        <v>509</v>
      </c>
      <c r="V15" s="30"/>
      <c r="W15" s="286" t="s">
        <v>1601</v>
      </c>
      <c r="X15" s="275">
        <v>0.6</v>
      </c>
      <c r="Y15" s="275">
        <v>0.6</v>
      </c>
      <c r="Z15" s="275">
        <v>0.6</v>
      </c>
      <c r="AA15" s="275">
        <v>0.7</v>
      </c>
      <c r="AB15" s="275">
        <v>0.7</v>
      </c>
      <c r="AC15" s="275">
        <v>0.7</v>
      </c>
      <c r="AD15" s="287">
        <v>0.7</v>
      </c>
      <c r="AE15" s="265" t="s">
        <v>1449</v>
      </c>
      <c r="AF15" s="287"/>
    </row>
    <row r="16" spans="1:34" ht="16.5" customHeight="1" x14ac:dyDescent="0.3">
      <c r="A16" s="30"/>
      <c r="B16" s="30">
        <v>12110</v>
      </c>
      <c r="C16" s="30" t="s">
        <v>332</v>
      </c>
      <c r="D16" s="30" t="s">
        <v>498</v>
      </c>
      <c r="E16" s="30"/>
      <c r="F16" s="30" t="s">
        <v>556</v>
      </c>
      <c r="G16" s="30" t="s">
        <v>513</v>
      </c>
      <c r="H16" s="30" t="s">
        <v>557</v>
      </c>
      <c r="I16" s="270" t="s">
        <v>505</v>
      </c>
      <c r="J16" s="30"/>
      <c r="K16" s="30"/>
      <c r="L16" s="30"/>
      <c r="M16" s="30"/>
      <c r="N16" s="30"/>
      <c r="O16" s="30"/>
      <c r="P16" s="30"/>
      <c r="Q16" s="30"/>
      <c r="R16" s="30" t="s">
        <v>556</v>
      </c>
      <c r="S16" s="30" t="s">
        <v>491</v>
      </c>
      <c r="T16" s="273" t="s">
        <v>479</v>
      </c>
      <c r="U16" s="30" t="s">
        <v>493</v>
      </c>
      <c r="V16" s="30"/>
      <c r="W16" s="257"/>
      <c r="X16" s="257"/>
      <c r="Y16" s="257"/>
      <c r="Z16" s="257"/>
      <c r="AA16" s="257"/>
    </row>
    <row r="17" spans="1:31" ht="16.5" customHeight="1" x14ac:dyDescent="0.3">
      <c r="A17" s="30"/>
      <c r="B17" s="30">
        <v>12111</v>
      </c>
      <c r="C17" s="30" t="s">
        <v>334</v>
      </c>
      <c r="D17" s="30" t="s">
        <v>532</v>
      </c>
      <c r="E17" s="30"/>
      <c r="F17" s="273" t="s">
        <v>558</v>
      </c>
      <c r="G17" s="30" t="s">
        <v>513</v>
      </c>
      <c r="H17" s="30" t="s">
        <v>559</v>
      </c>
      <c r="I17" s="30" t="s">
        <v>487</v>
      </c>
      <c r="J17" s="30"/>
      <c r="K17" s="30"/>
      <c r="L17" s="30"/>
      <c r="M17" s="30"/>
      <c r="N17" s="30"/>
      <c r="O17" s="30"/>
      <c r="P17" s="30"/>
      <c r="Q17" s="30"/>
      <c r="R17" s="30" t="s">
        <v>558</v>
      </c>
      <c r="S17" s="30" t="s">
        <v>542</v>
      </c>
      <c r="T17" s="273" t="s">
        <v>479</v>
      </c>
      <c r="U17" s="30" t="s">
        <v>493</v>
      </c>
      <c r="V17" s="30"/>
      <c r="X17" s="1585" t="s">
        <v>689</v>
      </c>
      <c r="Y17" s="1585" t="s">
        <v>1769</v>
      </c>
    </row>
    <row r="18" spans="1:31" ht="16.5" customHeight="1" x14ac:dyDescent="0.3">
      <c r="A18" s="30"/>
      <c r="B18" s="30">
        <v>12112</v>
      </c>
      <c r="C18" s="30" t="s">
        <v>336</v>
      </c>
      <c r="D18" s="30" t="s">
        <v>560</v>
      </c>
      <c r="E18" s="30"/>
      <c r="F18" s="30" t="s">
        <v>561</v>
      </c>
      <c r="G18" s="30" t="s">
        <v>485</v>
      </c>
      <c r="H18" s="30" t="s">
        <v>560</v>
      </c>
      <c r="I18" s="30" t="s">
        <v>487</v>
      </c>
      <c r="J18" s="30"/>
      <c r="K18" s="30"/>
      <c r="L18" s="30"/>
      <c r="M18" s="30"/>
      <c r="N18" s="30"/>
      <c r="O18" s="30"/>
      <c r="P18" s="30"/>
      <c r="Q18" s="30" t="str">
        <f>VLOOKUP($Q$11,TablaSujetos215[],3,TRUE)</f>
        <v>MIXTA&gt;50 sin ing</v>
      </c>
      <c r="R18" s="30" t="s">
        <v>561</v>
      </c>
      <c r="S18" s="30" t="s">
        <v>491</v>
      </c>
      <c r="T18" s="264" t="s">
        <v>492</v>
      </c>
      <c r="U18" s="30" t="s">
        <v>493</v>
      </c>
      <c r="V18" s="30"/>
      <c r="W18" s="1582" t="s">
        <v>1764</v>
      </c>
      <c r="X18" t="s">
        <v>1770</v>
      </c>
      <c r="Y18" t="s">
        <v>1771</v>
      </c>
    </row>
    <row r="19" spans="1:31" ht="16.5" customHeight="1" x14ac:dyDescent="0.3">
      <c r="A19" s="30"/>
      <c r="B19" s="30">
        <v>12113</v>
      </c>
      <c r="C19" s="30" t="s">
        <v>338</v>
      </c>
      <c r="D19" s="30" t="s">
        <v>562</v>
      </c>
      <c r="E19" s="30"/>
      <c r="F19" s="30" t="s">
        <v>563</v>
      </c>
      <c r="G19" s="30" t="s">
        <v>513</v>
      </c>
      <c r="H19" s="30" t="s">
        <v>557</v>
      </c>
      <c r="I19" s="270" t="s">
        <v>505</v>
      </c>
      <c r="J19" s="30"/>
      <c r="K19" s="30"/>
      <c r="L19" s="30"/>
      <c r="M19" s="30"/>
      <c r="N19" s="30"/>
      <c r="O19" s="30"/>
      <c r="P19" s="30"/>
      <c r="Q19" s="30"/>
      <c r="R19" s="30" t="s">
        <v>563</v>
      </c>
      <c r="S19" s="30" t="s">
        <v>491</v>
      </c>
      <c r="T19" s="264" t="s">
        <v>492</v>
      </c>
      <c r="U19" s="30" t="s">
        <v>493</v>
      </c>
      <c r="V19" s="30"/>
      <c r="W19" s="1582" t="s">
        <v>1765</v>
      </c>
      <c r="X19" t="s">
        <v>1771</v>
      </c>
      <c r="Y19" t="s">
        <v>1771</v>
      </c>
    </row>
    <row r="20" spans="1:31" ht="21" customHeight="1" x14ac:dyDescent="0.3">
      <c r="A20" s="30"/>
      <c r="B20" s="30">
        <v>12114</v>
      </c>
      <c r="C20" s="30" t="s">
        <v>340</v>
      </c>
      <c r="D20" s="30" t="s">
        <v>564</v>
      </c>
      <c r="E20" s="30"/>
      <c r="F20" s="30" t="s">
        <v>565</v>
      </c>
      <c r="G20" s="30" t="s">
        <v>513</v>
      </c>
      <c r="H20" s="30" t="s">
        <v>511</v>
      </c>
      <c r="I20" s="270" t="s">
        <v>505</v>
      </c>
      <c r="J20" s="30"/>
      <c r="K20" s="30"/>
      <c r="L20" s="30"/>
      <c r="M20" s="30"/>
      <c r="N20" s="30"/>
      <c r="O20" s="30"/>
      <c r="P20" s="30"/>
      <c r="Q20" s="30"/>
      <c r="R20" s="30" t="s">
        <v>565</v>
      </c>
      <c r="S20" s="30" t="s">
        <v>491</v>
      </c>
      <c r="T20" s="273" t="s">
        <v>516</v>
      </c>
      <c r="U20" s="30" t="s">
        <v>509</v>
      </c>
      <c r="V20" s="30"/>
      <c r="W20" s="1582" t="s">
        <v>1766</v>
      </c>
      <c r="X20" t="s">
        <v>1771</v>
      </c>
      <c r="Y20" t="s">
        <v>1771</v>
      </c>
    </row>
    <row r="21" spans="1:31" ht="16.5" customHeight="1" x14ac:dyDescent="0.3">
      <c r="A21" s="30"/>
      <c r="B21" s="30">
        <v>12115</v>
      </c>
      <c r="C21" s="30" t="s">
        <v>342</v>
      </c>
      <c r="D21" s="30" t="s">
        <v>566</v>
      </c>
      <c r="E21" s="30"/>
      <c r="F21" s="30" t="s">
        <v>567</v>
      </c>
      <c r="G21" s="30" t="s">
        <v>513</v>
      </c>
      <c r="H21" s="30" t="s">
        <v>568</v>
      </c>
      <c r="I21" s="270" t="s">
        <v>505</v>
      </c>
      <c r="J21" s="30"/>
      <c r="K21" s="30"/>
      <c r="L21" s="30"/>
      <c r="M21" s="30"/>
      <c r="N21" s="30"/>
      <c r="O21" s="30"/>
      <c r="P21" s="30"/>
      <c r="Q21" s="30"/>
      <c r="R21" s="30" t="s">
        <v>567</v>
      </c>
      <c r="S21" s="30" t="s">
        <v>491</v>
      </c>
      <c r="T21" s="273" t="s">
        <v>516</v>
      </c>
      <c r="U21" s="30" t="s">
        <v>509</v>
      </c>
      <c r="V21" s="30"/>
    </row>
    <row r="22" spans="1:31" ht="16.5" customHeight="1" x14ac:dyDescent="0.3">
      <c r="A22" s="30"/>
      <c r="B22" s="30">
        <v>12116</v>
      </c>
      <c r="C22" s="30" t="s">
        <v>344</v>
      </c>
      <c r="D22" s="30" t="s">
        <v>569</v>
      </c>
      <c r="E22" s="30"/>
      <c r="F22" s="30" t="s">
        <v>570</v>
      </c>
      <c r="G22" s="30" t="s">
        <v>513</v>
      </c>
      <c r="H22" s="30" t="s">
        <v>496</v>
      </c>
      <c r="I22" s="270" t="s">
        <v>505</v>
      </c>
      <c r="J22" s="30"/>
      <c r="K22" s="30"/>
      <c r="L22" s="30"/>
      <c r="M22" s="30"/>
      <c r="N22" s="30"/>
      <c r="O22" s="30"/>
      <c r="P22" s="30"/>
      <c r="Q22" s="30"/>
      <c r="R22" s="30" t="s">
        <v>570</v>
      </c>
      <c r="S22" s="30" t="s">
        <v>491</v>
      </c>
      <c r="T22" s="273" t="s">
        <v>516</v>
      </c>
      <c r="U22" s="30" t="s">
        <v>509</v>
      </c>
      <c r="V22" s="30"/>
    </row>
    <row r="23" spans="1:31" ht="88.5" customHeight="1" x14ac:dyDescent="0.3">
      <c r="A23" s="30"/>
      <c r="B23" s="30">
        <v>12117</v>
      </c>
      <c r="C23" s="30" t="s">
        <v>346</v>
      </c>
      <c r="D23" s="30" t="s">
        <v>571</v>
      </c>
      <c r="E23" s="30"/>
      <c r="F23" s="30" t="s">
        <v>572</v>
      </c>
      <c r="G23" s="30" t="s">
        <v>513</v>
      </c>
      <c r="H23" s="30" t="s">
        <v>557</v>
      </c>
      <c r="I23" s="270" t="s">
        <v>505</v>
      </c>
      <c r="J23" s="30"/>
      <c r="K23" s="30"/>
      <c r="L23" s="30"/>
      <c r="M23" s="30"/>
      <c r="N23" s="30"/>
      <c r="O23" s="30"/>
      <c r="P23" s="30"/>
      <c r="Q23" s="30"/>
      <c r="R23" s="30" t="s">
        <v>572</v>
      </c>
      <c r="S23" s="30" t="s">
        <v>491</v>
      </c>
      <c r="T23" s="273" t="s">
        <v>516</v>
      </c>
      <c r="U23" s="30" t="s">
        <v>509</v>
      </c>
      <c r="V23" s="30"/>
    </row>
    <row r="24" spans="1:31" ht="72.75" customHeight="1" x14ac:dyDescent="0.3">
      <c r="A24" s="30"/>
      <c r="B24" s="30">
        <v>12118</v>
      </c>
      <c r="C24" s="30" t="s">
        <v>348</v>
      </c>
      <c r="D24" s="30" t="s">
        <v>573</v>
      </c>
      <c r="E24" s="30"/>
      <c r="F24" s="30" t="s">
        <v>574</v>
      </c>
      <c r="G24" s="30" t="s">
        <v>513</v>
      </c>
      <c r="H24" s="30" t="s">
        <v>496</v>
      </c>
      <c r="I24" s="270" t="s">
        <v>505</v>
      </c>
      <c r="J24" s="30"/>
      <c r="K24" s="30"/>
      <c r="L24" s="30"/>
      <c r="M24" s="30"/>
      <c r="N24" s="30"/>
      <c r="O24" s="30"/>
      <c r="P24" s="30"/>
      <c r="Q24" s="30"/>
      <c r="R24" s="288" t="s">
        <v>574</v>
      </c>
      <c r="S24" s="30" t="s">
        <v>491</v>
      </c>
      <c r="T24" s="273" t="s">
        <v>516</v>
      </c>
      <c r="U24" s="30" t="s">
        <v>509</v>
      </c>
      <c r="V24" s="30"/>
      <c r="W24" s="289"/>
      <c r="AA24" s="257"/>
      <c r="AB24" s="257"/>
    </row>
    <row r="25" spans="1:31" ht="16.5" customHeight="1" x14ac:dyDescent="0.3">
      <c r="A25" s="30"/>
      <c r="B25" s="30">
        <v>12119</v>
      </c>
      <c r="C25" s="30" t="s">
        <v>350</v>
      </c>
      <c r="D25" s="30" t="s">
        <v>575</v>
      </c>
      <c r="E25" s="30"/>
      <c r="F25" s="30" t="s">
        <v>576</v>
      </c>
      <c r="G25" s="30" t="s">
        <v>485</v>
      </c>
      <c r="H25" s="30" t="s">
        <v>562</v>
      </c>
      <c r="I25" s="30" t="s">
        <v>487</v>
      </c>
      <c r="J25" s="30"/>
      <c r="K25" s="30"/>
      <c r="L25" s="30"/>
      <c r="M25" s="30"/>
      <c r="N25" s="30"/>
      <c r="O25" s="30"/>
      <c r="P25" s="30"/>
      <c r="Q25" s="30"/>
      <c r="R25" s="30" t="s">
        <v>576</v>
      </c>
      <c r="S25" s="30" t="s">
        <v>491</v>
      </c>
      <c r="T25" s="264" t="s">
        <v>492</v>
      </c>
      <c r="U25" s="30" t="s">
        <v>493</v>
      </c>
      <c r="V25" s="30"/>
      <c r="W25" s="289"/>
      <c r="AA25" s="257"/>
    </row>
    <row r="26" spans="1:31" ht="16.5" customHeight="1" x14ac:dyDescent="0.3">
      <c r="A26" s="30"/>
      <c r="B26" s="30">
        <v>12120</v>
      </c>
      <c r="C26" s="30" t="s">
        <v>352</v>
      </c>
      <c r="D26" s="30" t="s">
        <v>577</v>
      </c>
      <c r="E26" s="30"/>
      <c r="F26" s="30" t="s">
        <v>578</v>
      </c>
      <c r="G26" s="30" t="s">
        <v>579</v>
      </c>
      <c r="H26" s="30" t="s">
        <v>580</v>
      </c>
      <c r="I26" s="270" t="s">
        <v>505</v>
      </c>
      <c r="J26" s="30"/>
      <c r="K26" s="30"/>
      <c r="L26" s="30"/>
      <c r="M26" s="30"/>
      <c r="N26" s="30"/>
      <c r="O26" s="30"/>
      <c r="P26" s="30"/>
      <c r="Q26" s="30"/>
      <c r="R26" s="30" t="s">
        <v>578</v>
      </c>
      <c r="S26" s="30" t="s">
        <v>491</v>
      </c>
      <c r="T26" s="264" t="s">
        <v>492</v>
      </c>
      <c r="U26" s="30" t="s">
        <v>493</v>
      </c>
      <c r="V26" s="30"/>
      <c r="W26" s="289"/>
      <c r="AA26" s="283"/>
      <c r="AB26" s="283"/>
    </row>
    <row r="27" spans="1:31" ht="16.5" customHeight="1" x14ac:dyDescent="0.3">
      <c r="A27" s="30"/>
      <c r="B27" s="30">
        <v>130000</v>
      </c>
      <c r="C27" s="30" t="s">
        <v>354</v>
      </c>
      <c r="D27" s="30" t="s">
        <v>557</v>
      </c>
      <c r="E27" s="30"/>
      <c r="F27" s="30" t="s">
        <v>581</v>
      </c>
      <c r="G27" s="30" t="s">
        <v>513</v>
      </c>
      <c r="H27" s="30" t="s">
        <v>582</v>
      </c>
      <c r="I27" s="270" t="s">
        <v>505</v>
      </c>
      <c r="J27" s="30"/>
      <c r="K27" s="30"/>
      <c r="L27" s="30"/>
      <c r="M27" s="30"/>
      <c r="N27" s="30"/>
      <c r="O27" s="30"/>
      <c r="P27" s="30"/>
      <c r="Q27" s="30"/>
      <c r="R27" s="30" t="s">
        <v>581</v>
      </c>
      <c r="S27" s="30" t="s">
        <v>491</v>
      </c>
      <c r="T27" s="264" t="s">
        <v>492</v>
      </c>
      <c r="U27" s="30" t="s">
        <v>493</v>
      </c>
      <c r="V27" s="30"/>
      <c r="W27" s="290"/>
      <c r="X27" s="257"/>
      <c r="Y27" s="257"/>
      <c r="Z27" s="283"/>
      <c r="AA27" s="257"/>
    </row>
    <row r="28" spans="1:31" ht="16.5" customHeight="1" x14ac:dyDescent="0.3">
      <c r="A28" s="30"/>
      <c r="B28" s="30">
        <v>140000</v>
      </c>
      <c r="C28" s="30" t="s">
        <v>356</v>
      </c>
      <c r="D28" s="30" t="s">
        <v>547</v>
      </c>
      <c r="E28" s="30"/>
      <c r="F28" s="30" t="s">
        <v>583</v>
      </c>
      <c r="G28" s="30" t="s">
        <v>513</v>
      </c>
      <c r="H28" s="30" t="s">
        <v>580</v>
      </c>
      <c r="I28" s="270" t="s">
        <v>505</v>
      </c>
      <c r="J28" s="30"/>
      <c r="K28" s="30"/>
      <c r="L28" s="30"/>
      <c r="M28" s="30"/>
      <c r="N28" s="30"/>
      <c r="O28" s="30"/>
      <c r="P28" s="30"/>
      <c r="Q28" s="30"/>
      <c r="R28" s="30" t="s">
        <v>583</v>
      </c>
      <c r="S28" s="30" t="s">
        <v>491</v>
      </c>
      <c r="T28" s="264" t="s">
        <v>492</v>
      </c>
      <c r="U28" s="30" t="s">
        <v>493</v>
      </c>
      <c r="V28" s="30"/>
      <c r="W28" s="289"/>
      <c r="X28" s="257"/>
      <c r="Y28" s="257"/>
      <c r="Z28" s="283"/>
      <c r="AA28" s="257"/>
    </row>
    <row r="29" spans="1:31" ht="16.5" customHeight="1" x14ac:dyDescent="0.3">
      <c r="A29" s="30"/>
      <c r="B29" s="30">
        <v>150000</v>
      </c>
      <c r="C29" s="30" t="s">
        <v>358</v>
      </c>
      <c r="D29" s="30" t="s">
        <v>541</v>
      </c>
      <c r="E29" s="30"/>
      <c r="F29" s="30" t="s">
        <v>584</v>
      </c>
      <c r="G29" s="30" t="s">
        <v>485</v>
      </c>
      <c r="H29" s="30" t="s">
        <v>564</v>
      </c>
      <c r="I29" s="30" t="s">
        <v>487</v>
      </c>
      <c r="J29" s="30"/>
      <c r="K29" s="30"/>
      <c r="L29" s="30"/>
      <c r="M29" s="30"/>
      <c r="N29" s="30"/>
      <c r="O29" s="30"/>
      <c r="P29" s="30"/>
      <c r="Q29" s="30"/>
      <c r="R29" s="30" t="s">
        <v>584</v>
      </c>
      <c r="S29" s="30" t="s">
        <v>491</v>
      </c>
      <c r="T29" s="264" t="s">
        <v>492</v>
      </c>
      <c r="U29" s="30" t="s">
        <v>493</v>
      </c>
      <c r="V29" s="30"/>
      <c r="W29" s="291" t="s">
        <v>585</v>
      </c>
      <c r="X29" s="257"/>
      <c r="Y29" s="257"/>
      <c r="Z29" s="257"/>
      <c r="AA29" s="257"/>
    </row>
    <row r="30" spans="1:31" ht="16.5" customHeight="1" x14ac:dyDescent="0.3">
      <c r="A30" s="30"/>
      <c r="B30" s="30">
        <v>190000</v>
      </c>
      <c r="C30" s="30" t="s">
        <v>360</v>
      </c>
      <c r="D30" s="30" t="s">
        <v>555</v>
      </c>
      <c r="E30" s="30"/>
      <c r="F30" s="30" t="s">
        <v>586</v>
      </c>
      <c r="G30" s="30" t="s">
        <v>485</v>
      </c>
      <c r="H30" s="30" t="s">
        <v>566</v>
      </c>
      <c r="I30" s="30" t="s">
        <v>487</v>
      </c>
      <c r="J30" s="30"/>
      <c r="K30" s="30"/>
      <c r="L30" s="30"/>
      <c r="M30" s="30"/>
      <c r="N30" s="30"/>
      <c r="O30" s="30"/>
      <c r="P30" s="30"/>
      <c r="Q30" s="30"/>
      <c r="R30" s="30" t="s">
        <v>586</v>
      </c>
      <c r="S30" s="30" t="s">
        <v>491</v>
      </c>
      <c r="T30" s="264" t="s">
        <v>492</v>
      </c>
      <c r="U30" s="30" t="s">
        <v>493</v>
      </c>
      <c r="V30" s="30"/>
      <c r="W30" s="279" t="s">
        <v>587</v>
      </c>
      <c r="X30" s="257"/>
      <c r="Y30" s="257"/>
      <c r="Z30" s="283"/>
      <c r="AA30" s="257"/>
    </row>
    <row r="31" spans="1:31" ht="107.25" customHeight="1" x14ac:dyDescent="0.3">
      <c r="A31" s="30"/>
      <c r="B31" s="30">
        <v>200000</v>
      </c>
      <c r="C31" s="30" t="s">
        <v>362</v>
      </c>
      <c r="D31" s="30" t="s">
        <v>568</v>
      </c>
      <c r="E31" s="30"/>
      <c r="F31" s="30" t="s">
        <v>588</v>
      </c>
      <c r="G31" s="30" t="s">
        <v>485</v>
      </c>
      <c r="H31" s="30" t="s">
        <v>569</v>
      </c>
      <c r="I31" s="30" t="s">
        <v>487</v>
      </c>
      <c r="J31" s="30"/>
      <c r="K31" s="30"/>
      <c r="L31" s="30"/>
      <c r="M31" s="30"/>
      <c r="N31" s="30"/>
      <c r="O31" s="30"/>
      <c r="P31" s="30"/>
      <c r="Q31" s="30"/>
      <c r="R31" s="30" t="s">
        <v>588</v>
      </c>
      <c r="S31" s="30" t="s">
        <v>491</v>
      </c>
      <c r="T31" s="264" t="s">
        <v>492</v>
      </c>
      <c r="U31" s="30" t="s">
        <v>493</v>
      </c>
      <c r="V31" s="30"/>
      <c r="W31" s="291" t="s">
        <v>589</v>
      </c>
      <c r="X31" s="257"/>
      <c r="Y31" s="257"/>
      <c r="Z31" s="257"/>
      <c r="AA31" s="257"/>
      <c r="AB31" s="257"/>
      <c r="AC31" s="257"/>
      <c r="AD31" s="257"/>
      <c r="AE31" s="257"/>
    </row>
    <row r="32" spans="1:31" ht="16.5" customHeight="1" x14ac:dyDescent="0.3">
      <c r="A32" s="30"/>
      <c r="B32" s="30">
        <v>210000</v>
      </c>
      <c r="C32" s="30" t="s">
        <v>364</v>
      </c>
      <c r="D32" s="30" t="s">
        <v>119</v>
      </c>
      <c r="E32" s="30"/>
      <c r="F32" s="30" t="s">
        <v>590</v>
      </c>
      <c r="G32" s="30" t="s">
        <v>485</v>
      </c>
      <c r="H32" s="30" t="s">
        <v>571</v>
      </c>
      <c r="I32" s="30" t="s">
        <v>487</v>
      </c>
      <c r="J32" s="30"/>
      <c r="K32" s="30"/>
      <c r="L32" s="30"/>
      <c r="M32" s="30"/>
      <c r="N32" s="30"/>
      <c r="O32" s="30"/>
      <c r="P32" s="30"/>
      <c r="Q32" s="30"/>
      <c r="R32" s="30" t="s">
        <v>590</v>
      </c>
      <c r="S32" s="30" t="s">
        <v>491</v>
      </c>
      <c r="T32" s="264" t="s">
        <v>492</v>
      </c>
      <c r="U32" s="30" t="s">
        <v>493</v>
      </c>
      <c r="V32" s="30"/>
      <c r="W32" s="257"/>
      <c r="X32" s="257"/>
      <c r="Y32" s="257"/>
      <c r="Z32" s="257"/>
      <c r="AA32" s="257"/>
      <c r="AB32" s="257"/>
      <c r="AC32" s="257"/>
      <c r="AD32" s="257"/>
      <c r="AE32" s="257"/>
    </row>
    <row r="33" spans="1:31" ht="16.5" customHeight="1" x14ac:dyDescent="0.3">
      <c r="A33" s="30"/>
      <c r="B33" s="30">
        <v>220000</v>
      </c>
      <c r="C33" s="30" t="s">
        <v>366</v>
      </c>
      <c r="D33" s="30" t="s">
        <v>559</v>
      </c>
      <c r="E33" s="30"/>
      <c r="F33" s="30" t="s">
        <v>591</v>
      </c>
      <c r="G33" s="30" t="s">
        <v>485</v>
      </c>
      <c r="H33" s="30" t="s">
        <v>573</v>
      </c>
      <c r="I33" s="30" t="s">
        <v>487</v>
      </c>
      <c r="J33" s="30"/>
      <c r="K33" s="30"/>
      <c r="L33" s="30"/>
      <c r="M33" s="30"/>
      <c r="N33" s="30"/>
      <c r="O33" s="30"/>
      <c r="P33" s="30"/>
      <c r="Q33" s="30"/>
      <c r="R33" s="30" t="s">
        <v>591</v>
      </c>
      <c r="S33" s="30" t="s">
        <v>491</v>
      </c>
      <c r="T33" s="264" t="s">
        <v>492</v>
      </c>
      <c r="U33" s="30" t="s">
        <v>493</v>
      </c>
      <c r="V33" s="30"/>
      <c r="W33" s="257"/>
      <c r="X33" s="257"/>
      <c r="Y33" s="257"/>
      <c r="Z33" s="257"/>
      <c r="AA33" s="257"/>
      <c r="AB33" s="257"/>
      <c r="AC33" s="257"/>
      <c r="AD33" s="257"/>
      <c r="AE33" s="257"/>
    </row>
    <row r="34" spans="1:31" ht="16.5" customHeight="1" x14ac:dyDescent="0.3">
      <c r="A34" s="30"/>
      <c r="B34" s="30">
        <v>230000</v>
      </c>
      <c r="C34" s="30" t="s">
        <v>368</v>
      </c>
      <c r="D34" s="30" t="s">
        <v>580</v>
      </c>
      <c r="E34" s="30"/>
      <c r="F34" s="30" t="s">
        <v>592</v>
      </c>
      <c r="G34" s="30" t="s">
        <v>485</v>
      </c>
      <c r="H34" s="30" t="s">
        <v>575</v>
      </c>
      <c r="I34" s="30" t="s">
        <v>487</v>
      </c>
      <c r="J34" s="30"/>
      <c r="K34" s="30"/>
      <c r="L34" s="30"/>
      <c r="M34" s="30"/>
      <c r="N34" s="30"/>
      <c r="O34" s="30"/>
      <c r="P34" s="30"/>
      <c r="Q34" s="30"/>
      <c r="R34" s="30" t="s">
        <v>592</v>
      </c>
      <c r="S34" s="30" t="s">
        <v>491</v>
      </c>
      <c r="T34" s="264" t="s">
        <v>492</v>
      </c>
      <c r="U34" s="30" t="s">
        <v>493</v>
      </c>
      <c r="V34" s="30"/>
      <c r="W34" s="257"/>
      <c r="X34" s="257"/>
      <c r="Y34" s="257"/>
      <c r="Z34" s="257"/>
      <c r="AA34" s="257"/>
      <c r="AB34" s="257"/>
      <c r="AC34" s="257"/>
      <c r="AD34" s="257"/>
      <c r="AE34" s="257"/>
    </row>
    <row r="35" spans="1:31" ht="16.5" customHeight="1" x14ac:dyDescent="0.3">
      <c r="A35" s="30"/>
      <c r="B35" s="30">
        <v>80000</v>
      </c>
      <c r="C35" s="30" t="s">
        <v>370</v>
      </c>
      <c r="D35" s="30" t="s">
        <v>550</v>
      </c>
      <c r="E35" s="30"/>
      <c r="F35" s="30" t="s">
        <v>593</v>
      </c>
      <c r="G35" s="30" t="s">
        <v>485</v>
      </c>
      <c r="H35" s="30" t="s">
        <v>525</v>
      </c>
      <c r="I35" s="30" t="s">
        <v>487</v>
      </c>
      <c r="J35" s="30"/>
      <c r="K35" s="30"/>
      <c r="L35" s="30"/>
      <c r="M35" s="30"/>
      <c r="N35" s="30"/>
      <c r="O35" s="30"/>
      <c r="P35" s="30"/>
      <c r="Q35" s="30"/>
      <c r="R35" s="30" t="s">
        <v>593</v>
      </c>
      <c r="S35" s="30" t="s">
        <v>491</v>
      </c>
      <c r="T35" s="264" t="s">
        <v>492</v>
      </c>
      <c r="U35" s="30" t="s">
        <v>493</v>
      </c>
      <c r="V35" s="30"/>
      <c r="W35" s="257"/>
      <c r="X35" s="257"/>
      <c r="Y35" s="257"/>
      <c r="Z35" s="257"/>
      <c r="AA35" s="257"/>
      <c r="AB35" s="257"/>
      <c r="AC35" s="257"/>
      <c r="AD35" s="257"/>
      <c r="AE35" s="257"/>
    </row>
    <row r="36" spans="1:31" ht="16.5" customHeight="1" x14ac:dyDescent="0.3">
      <c r="A36" s="30"/>
      <c r="B36" s="30">
        <v>90000</v>
      </c>
      <c r="C36" s="30" t="s">
        <v>372</v>
      </c>
      <c r="D36" s="30" t="s">
        <v>582</v>
      </c>
      <c r="E36" s="30"/>
      <c r="F36" s="30" t="s">
        <v>594</v>
      </c>
      <c r="G36" s="30" t="s">
        <v>485</v>
      </c>
      <c r="H36" s="30" t="s">
        <v>577</v>
      </c>
      <c r="I36" s="30" t="s">
        <v>487</v>
      </c>
      <c r="J36" s="30"/>
      <c r="K36" s="30"/>
      <c r="L36" s="30"/>
      <c r="M36" s="30"/>
      <c r="N36" s="30"/>
      <c r="O36" s="30"/>
      <c r="P36" s="30"/>
      <c r="Q36" s="30"/>
      <c r="R36" s="30" t="s">
        <v>594</v>
      </c>
      <c r="S36" s="30" t="s">
        <v>491</v>
      </c>
      <c r="T36" s="264" t="s">
        <v>492</v>
      </c>
      <c r="U36" s="30" t="s">
        <v>493</v>
      </c>
      <c r="V36" s="30"/>
      <c r="W36" s="257"/>
      <c r="X36" s="257"/>
      <c r="Y36" s="257"/>
      <c r="Z36" s="257"/>
      <c r="AA36" s="257"/>
      <c r="AB36" s="257"/>
      <c r="AC36" s="257"/>
      <c r="AD36" s="257"/>
      <c r="AE36" s="257"/>
    </row>
    <row r="37" spans="1:31" ht="16.5" customHeight="1" x14ac:dyDescent="0.3">
      <c r="A37" s="30"/>
      <c r="B37" s="30"/>
      <c r="C37" s="30"/>
      <c r="D37" s="30"/>
      <c r="E37" s="30"/>
      <c r="F37" s="273" t="s">
        <v>595</v>
      </c>
      <c r="G37" s="30" t="s">
        <v>596</v>
      </c>
      <c r="H37" s="30" t="s">
        <v>555</v>
      </c>
      <c r="I37" s="270" t="s">
        <v>505</v>
      </c>
      <c r="J37" s="30" t="s">
        <v>487</v>
      </c>
      <c r="K37" s="30"/>
      <c r="L37" s="30"/>
      <c r="M37" s="30"/>
      <c r="N37" s="30"/>
      <c r="O37" s="30"/>
      <c r="P37" s="30"/>
      <c r="Q37" s="30"/>
      <c r="R37" s="30" t="s">
        <v>595</v>
      </c>
      <c r="S37" s="30" t="s">
        <v>542</v>
      </c>
      <c r="T37" s="273" t="s">
        <v>479</v>
      </c>
      <c r="U37" s="30" t="s">
        <v>493</v>
      </c>
      <c r="V37" s="30"/>
      <c r="W37" s="257"/>
      <c r="X37" s="257"/>
      <c r="Y37" s="257"/>
      <c r="Z37" s="257"/>
      <c r="AA37" s="257"/>
      <c r="AB37" s="257"/>
      <c r="AC37" s="257"/>
      <c r="AD37" s="257"/>
      <c r="AE37" s="257"/>
    </row>
    <row r="38" spans="1:31" ht="16.5" customHeight="1" x14ac:dyDescent="0.3">
      <c r="A38" s="30"/>
      <c r="B38" s="30"/>
      <c r="C38" s="30"/>
      <c r="D38" s="30"/>
      <c r="E38" s="30"/>
      <c r="F38" s="292" t="s">
        <v>597</v>
      </c>
      <c r="G38" s="30" t="s">
        <v>598</v>
      </c>
      <c r="H38" s="30" t="s">
        <v>483</v>
      </c>
      <c r="I38" s="270" t="s">
        <v>505</v>
      </c>
      <c r="J38" s="30" t="s">
        <v>487</v>
      </c>
      <c r="K38" s="30"/>
      <c r="L38" s="30"/>
      <c r="M38" s="30"/>
      <c r="N38" s="30"/>
      <c r="O38" s="30"/>
      <c r="P38" s="30"/>
      <c r="Q38" s="30"/>
      <c r="R38" s="293" t="s">
        <v>597</v>
      </c>
      <c r="S38" s="294" t="s">
        <v>542</v>
      </c>
      <c r="T38" s="295" t="s">
        <v>479</v>
      </c>
      <c r="U38" s="294" t="s">
        <v>493</v>
      </c>
      <c r="V38" s="294"/>
      <c r="W38" s="257"/>
      <c r="X38" s="257"/>
      <c r="Y38" s="257"/>
      <c r="Z38" s="257"/>
      <c r="AA38" s="257"/>
      <c r="AB38" s="257"/>
      <c r="AC38" s="257"/>
      <c r="AD38" s="257"/>
      <c r="AE38" s="257"/>
    </row>
    <row r="39" spans="1:31" ht="23.7" customHeight="1" x14ac:dyDescent="0.3">
      <c r="A39" s="30"/>
      <c r="B39" s="30"/>
      <c r="C39" s="30"/>
      <c r="D39" s="30"/>
      <c r="E39" s="30"/>
      <c r="F39" s="30" t="s">
        <v>599</v>
      </c>
      <c r="G39" s="30" t="s">
        <v>600</v>
      </c>
      <c r="H39" s="30" t="s">
        <v>557</v>
      </c>
      <c r="I39" s="30" t="s">
        <v>487</v>
      </c>
      <c r="J39" s="30"/>
      <c r="K39" s="30"/>
      <c r="L39" s="30"/>
      <c r="M39" s="30"/>
      <c r="N39" s="30"/>
      <c r="O39" s="30"/>
      <c r="P39" s="30"/>
      <c r="Q39" s="30"/>
      <c r="R39" s="293" t="s">
        <v>601</v>
      </c>
      <c r="S39" s="294" t="s">
        <v>491</v>
      </c>
      <c r="T39" s="264" t="s">
        <v>492</v>
      </c>
      <c r="U39" s="30" t="s">
        <v>493</v>
      </c>
      <c r="V39" s="30"/>
      <c r="W39" s="257"/>
      <c r="X39" s="257"/>
      <c r="Y39" s="257"/>
      <c r="Z39" s="257"/>
      <c r="AA39" s="257"/>
      <c r="AB39" s="257"/>
      <c r="AC39" s="257"/>
      <c r="AD39" s="257"/>
      <c r="AE39" s="257"/>
    </row>
    <row r="40" spans="1:31" ht="16.5" customHeight="1" x14ac:dyDescent="0.3">
      <c r="A40" s="30"/>
      <c r="B40" s="30"/>
      <c r="C40" s="30"/>
      <c r="D40" s="30"/>
      <c r="E40" s="30"/>
      <c r="F40" s="292" t="s">
        <v>601</v>
      </c>
      <c r="G40" s="30" t="s">
        <v>513</v>
      </c>
      <c r="H40" s="30" t="s">
        <v>557</v>
      </c>
      <c r="I40" s="270" t="s">
        <v>505</v>
      </c>
      <c r="J40" s="30" t="s">
        <v>487</v>
      </c>
      <c r="K40" s="30"/>
      <c r="L40" s="30"/>
      <c r="M40" s="30"/>
      <c r="N40" s="30"/>
      <c r="O40" s="30"/>
      <c r="P40" s="30"/>
      <c r="Q40" s="30"/>
      <c r="R40" s="30" t="s">
        <v>602</v>
      </c>
      <c r="S40" s="30" t="s">
        <v>542</v>
      </c>
      <c r="T40" s="273" t="s">
        <v>479</v>
      </c>
      <c r="U40" s="30" t="s">
        <v>493</v>
      </c>
      <c r="V40" s="30"/>
      <c r="W40" s="257"/>
      <c r="X40" s="257"/>
      <c r="Y40" s="257"/>
      <c r="Z40" s="257"/>
      <c r="AA40" s="257"/>
      <c r="AB40" s="257"/>
      <c r="AC40" s="257"/>
      <c r="AD40" s="257"/>
      <c r="AE40" s="257"/>
    </row>
    <row r="41" spans="1:31" ht="16.5" customHeight="1" x14ac:dyDescent="0.3">
      <c r="A41" s="30"/>
      <c r="B41" s="30"/>
      <c r="C41" s="30"/>
      <c r="D41" s="30"/>
      <c r="E41" s="30"/>
      <c r="F41" s="273" t="s">
        <v>602</v>
      </c>
      <c r="G41" s="30" t="s">
        <v>596</v>
      </c>
      <c r="H41" s="30" t="s">
        <v>550</v>
      </c>
      <c r="I41" s="30" t="s">
        <v>487</v>
      </c>
      <c r="J41" s="30" t="s">
        <v>487</v>
      </c>
      <c r="K41" s="30"/>
      <c r="L41" s="30"/>
      <c r="M41" s="30"/>
      <c r="N41" s="30"/>
      <c r="O41" s="30"/>
      <c r="P41" s="30"/>
      <c r="Q41" s="30"/>
      <c r="R41" s="30" t="s">
        <v>603</v>
      </c>
      <c r="S41" s="30" t="s">
        <v>542</v>
      </c>
      <c r="T41" s="273" t="s">
        <v>479</v>
      </c>
      <c r="U41" s="30" t="s">
        <v>493</v>
      </c>
      <c r="V41" s="30"/>
      <c r="W41" s="257"/>
      <c r="X41" s="257"/>
      <c r="Y41" s="257"/>
      <c r="Z41" s="257"/>
      <c r="AA41" s="257"/>
      <c r="AB41" s="257"/>
      <c r="AC41" s="257"/>
      <c r="AD41" s="257"/>
      <c r="AE41" s="257"/>
    </row>
    <row r="42" spans="1:31" ht="16.5" customHeight="1" x14ac:dyDescent="0.3">
      <c r="A42" s="30"/>
      <c r="B42" s="30"/>
      <c r="C42" s="30"/>
      <c r="D42" s="30"/>
      <c r="E42" s="30"/>
      <c r="F42" s="30" t="s">
        <v>604</v>
      </c>
      <c r="G42" s="30" t="s">
        <v>605</v>
      </c>
      <c r="H42" s="30" t="s">
        <v>557</v>
      </c>
      <c r="I42" s="30" t="s">
        <v>487</v>
      </c>
      <c r="J42" s="30"/>
      <c r="K42" s="30"/>
      <c r="L42" s="30"/>
      <c r="M42" s="30"/>
      <c r="N42" s="30"/>
      <c r="O42" s="30"/>
      <c r="P42" s="30"/>
      <c r="Q42" s="30"/>
      <c r="R42" s="30" t="s">
        <v>606</v>
      </c>
      <c r="S42" s="30" t="s">
        <v>542</v>
      </c>
      <c r="T42" s="273" t="s">
        <v>479</v>
      </c>
      <c r="U42" s="30" t="s">
        <v>493</v>
      </c>
      <c r="V42" s="30"/>
      <c r="W42" s="257"/>
      <c r="X42" s="257"/>
      <c r="Y42" s="257"/>
      <c r="Z42" s="257"/>
      <c r="AA42" s="257"/>
      <c r="AB42" s="257"/>
      <c r="AC42" s="257"/>
      <c r="AD42" s="257"/>
      <c r="AE42" s="257"/>
    </row>
    <row r="43" spans="1:31" ht="16.5" customHeight="1" x14ac:dyDescent="0.3">
      <c r="A43" s="30"/>
      <c r="B43" s="30"/>
      <c r="C43" s="30"/>
      <c r="D43" s="30"/>
      <c r="E43" s="30"/>
      <c r="F43" s="30" t="s">
        <v>603</v>
      </c>
      <c r="G43" s="30" t="s">
        <v>598</v>
      </c>
      <c r="H43" s="30" t="s">
        <v>541</v>
      </c>
      <c r="I43" s="30" t="s">
        <v>487</v>
      </c>
      <c r="J43" s="30"/>
      <c r="K43" s="30"/>
      <c r="L43" s="30"/>
      <c r="M43" s="30"/>
      <c r="N43" s="30"/>
      <c r="O43" s="30"/>
      <c r="P43" s="30"/>
      <c r="Q43" s="30"/>
      <c r="R43" s="30" t="s">
        <v>607</v>
      </c>
      <c r="S43" s="30" t="s">
        <v>542</v>
      </c>
      <c r="T43" s="273" t="s">
        <v>479</v>
      </c>
      <c r="U43" s="30" t="s">
        <v>493</v>
      </c>
      <c r="V43" s="30"/>
      <c r="W43" s="257"/>
      <c r="X43" s="257"/>
      <c r="Y43" s="257"/>
      <c r="Z43" s="257"/>
      <c r="AA43" s="257"/>
      <c r="AB43" s="257"/>
      <c r="AC43" s="257"/>
      <c r="AD43" s="257"/>
    </row>
    <row r="44" spans="1:31" ht="16.5" customHeight="1" x14ac:dyDescent="0.3">
      <c r="A44" s="30"/>
      <c r="B44" s="30"/>
      <c r="C44" s="30"/>
      <c r="D44" s="30"/>
      <c r="E44" s="30"/>
      <c r="F44" s="30" t="s">
        <v>608</v>
      </c>
      <c r="G44" s="30" t="s">
        <v>605</v>
      </c>
      <c r="H44" s="30" t="s">
        <v>557</v>
      </c>
      <c r="I44" s="30" t="s">
        <v>487</v>
      </c>
      <c r="J44" s="30"/>
      <c r="K44" s="30"/>
      <c r="L44" s="30"/>
      <c r="M44" s="30"/>
      <c r="N44" s="30"/>
      <c r="O44" s="30"/>
      <c r="P44" s="30"/>
      <c r="Q44" s="30"/>
      <c r="R44" s="30" t="s">
        <v>609</v>
      </c>
      <c r="S44" s="30" t="s">
        <v>542</v>
      </c>
      <c r="T44" s="273" t="s">
        <v>479</v>
      </c>
      <c r="U44" s="30" t="s">
        <v>493</v>
      </c>
      <c r="V44" s="30"/>
      <c r="W44" s="257"/>
      <c r="X44" s="257"/>
      <c r="Y44" s="257"/>
      <c r="Z44" s="257"/>
      <c r="AA44" s="257"/>
      <c r="AB44" s="257"/>
      <c r="AC44" s="257"/>
      <c r="AD44" s="257"/>
    </row>
    <row r="45" spans="1:31" ht="16.5" customHeight="1" x14ac:dyDescent="0.3">
      <c r="A45" s="30"/>
      <c r="B45" s="30"/>
      <c r="C45" s="30"/>
      <c r="D45" s="30"/>
      <c r="E45" s="30"/>
      <c r="F45" s="273" t="s">
        <v>606</v>
      </c>
      <c r="G45" s="30" t="s">
        <v>596</v>
      </c>
      <c r="H45" s="30" t="s">
        <v>557</v>
      </c>
      <c r="I45" s="30" t="s">
        <v>487</v>
      </c>
      <c r="J45" s="30" t="s">
        <v>487</v>
      </c>
      <c r="K45" s="30"/>
      <c r="L45" s="30"/>
      <c r="M45" s="30"/>
      <c r="N45" s="30"/>
      <c r="O45" s="30"/>
      <c r="P45" s="30"/>
      <c r="Q45" s="30"/>
      <c r="R45" s="30" t="s">
        <v>610</v>
      </c>
      <c r="S45" s="30" t="s">
        <v>542</v>
      </c>
      <c r="T45" s="273" t="s">
        <v>479</v>
      </c>
      <c r="U45" s="30" t="s">
        <v>493</v>
      </c>
      <c r="V45" s="30"/>
      <c r="W45" s="257"/>
      <c r="Z45" s="257"/>
      <c r="AA45" s="257"/>
    </row>
    <row r="46" spans="1:31" ht="16.5" customHeight="1" x14ac:dyDescent="0.3">
      <c r="A46" s="30"/>
      <c r="B46" s="30"/>
      <c r="C46" s="30"/>
      <c r="D46" s="30"/>
      <c r="E46" s="30"/>
      <c r="F46" s="30" t="s">
        <v>611</v>
      </c>
      <c r="G46" s="30" t="s">
        <v>605</v>
      </c>
      <c r="H46" s="30" t="s">
        <v>557</v>
      </c>
      <c r="I46" s="30" t="s">
        <v>487</v>
      </c>
      <c r="J46" s="30"/>
      <c r="K46" s="30"/>
      <c r="L46" s="30"/>
      <c r="M46" s="30"/>
      <c r="N46" s="30"/>
      <c r="O46" s="30"/>
      <c r="P46" s="30"/>
      <c r="Q46" s="30"/>
      <c r="R46" s="30" t="s">
        <v>612</v>
      </c>
      <c r="S46" s="30" t="s">
        <v>542</v>
      </c>
      <c r="T46" s="273" t="s">
        <v>479</v>
      </c>
      <c r="U46" s="30" t="s">
        <v>493</v>
      </c>
      <c r="V46" s="30"/>
      <c r="W46" s="257"/>
      <c r="X46" s="257"/>
      <c r="Y46" s="257"/>
      <c r="Z46" s="257"/>
      <c r="AA46" s="257"/>
    </row>
    <row r="47" spans="1:31" ht="16.5" customHeight="1" x14ac:dyDescent="0.3">
      <c r="A47" s="30"/>
      <c r="B47" s="30"/>
      <c r="C47" s="30"/>
      <c r="D47" s="30"/>
      <c r="E47" s="30"/>
      <c r="F47" s="30" t="s">
        <v>613</v>
      </c>
      <c r="G47" s="30" t="s">
        <v>605</v>
      </c>
      <c r="H47" s="30" t="s">
        <v>557</v>
      </c>
      <c r="I47" s="30" t="s">
        <v>487</v>
      </c>
      <c r="J47" s="30"/>
      <c r="K47" s="30"/>
      <c r="L47" s="30"/>
      <c r="M47" s="30"/>
      <c r="N47" s="30"/>
      <c r="O47" s="30"/>
      <c r="P47" s="30"/>
      <c r="Q47" s="30"/>
      <c r="R47" s="30" t="s">
        <v>614</v>
      </c>
      <c r="S47" s="30" t="s">
        <v>542</v>
      </c>
      <c r="T47" s="273" t="s">
        <v>479</v>
      </c>
      <c r="U47" s="30" t="s">
        <v>493</v>
      </c>
      <c r="V47" s="30"/>
      <c r="W47" s="257"/>
      <c r="X47" s="257"/>
      <c r="Y47" s="257"/>
      <c r="Z47" s="257" t="s">
        <v>144</v>
      </c>
      <c r="AA47" s="257"/>
    </row>
    <row r="48" spans="1:31" ht="16.5" customHeight="1" x14ac:dyDescent="0.3">
      <c r="A48" s="30"/>
      <c r="B48" s="30"/>
      <c r="C48" s="30"/>
      <c r="D48" s="30"/>
      <c r="E48" s="30"/>
      <c r="F48" s="273" t="s">
        <v>607</v>
      </c>
      <c r="G48" s="30" t="s">
        <v>596</v>
      </c>
      <c r="H48" s="30" t="s">
        <v>559</v>
      </c>
      <c r="I48" s="270" t="s">
        <v>505</v>
      </c>
      <c r="J48" s="30" t="s">
        <v>487</v>
      </c>
      <c r="K48" s="30"/>
      <c r="L48" s="30"/>
      <c r="M48" s="30"/>
      <c r="N48" s="30"/>
      <c r="O48" s="30"/>
      <c r="P48" s="30"/>
      <c r="Q48" s="30"/>
      <c r="R48" s="273" t="s">
        <v>615</v>
      </c>
      <c r="S48" s="295" t="s">
        <v>491</v>
      </c>
      <c r="T48" s="273" t="s">
        <v>479</v>
      </c>
      <c r="U48" s="30" t="s">
        <v>493</v>
      </c>
      <c r="V48" s="30"/>
      <c r="W48" s="257"/>
      <c r="X48" s="257"/>
      <c r="Y48" s="257"/>
      <c r="Z48" s="257" t="s">
        <v>144</v>
      </c>
      <c r="AA48" s="257"/>
    </row>
    <row r="49" spans="1:27" ht="16.5" customHeight="1" x14ac:dyDescent="0.3">
      <c r="A49" s="30"/>
      <c r="B49" s="30"/>
      <c r="C49" s="30"/>
      <c r="D49" s="30"/>
      <c r="E49" s="30"/>
      <c r="F49" s="273" t="s">
        <v>609</v>
      </c>
      <c r="G49" s="30" t="s">
        <v>596</v>
      </c>
      <c r="H49" s="30" t="s">
        <v>559</v>
      </c>
      <c r="I49" s="270" t="s">
        <v>505</v>
      </c>
      <c r="J49" s="30" t="s">
        <v>487</v>
      </c>
      <c r="K49" s="30"/>
      <c r="L49" s="30"/>
      <c r="M49" s="30"/>
      <c r="N49" s="30"/>
      <c r="O49" s="30"/>
      <c r="P49" s="30"/>
      <c r="Q49" s="30"/>
      <c r="R49" s="30" t="s">
        <v>616</v>
      </c>
      <c r="S49" s="30" t="s">
        <v>542</v>
      </c>
      <c r="T49" s="273" t="s">
        <v>479</v>
      </c>
      <c r="U49" s="30" t="s">
        <v>493</v>
      </c>
      <c r="V49" s="30"/>
      <c r="W49" s="257"/>
      <c r="X49" s="257"/>
      <c r="Y49" s="257"/>
      <c r="Z49" s="257" t="s">
        <v>144</v>
      </c>
      <c r="AA49" s="257"/>
    </row>
    <row r="50" spans="1:27" ht="16.5" customHeight="1" x14ac:dyDescent="0.3">
      <c r="A50" s="30"/>
      <c r="B50" s="30"/>
      <c r="C50" s="30"/>
      <c r="D50" s="30"/>
      <c r="E50" s="30"/>
      <c r="F50" s="273" t="s">
        <v>610</v>
      </c>
      <c r="G50" s="30" t="s">
        <v>596</v>
      </c>
      <c r="H50" s="30" t="s">
        <v>568</v>
      </c>
      <c r="I50" s="270" t="s">
        <v>505</v>
      </c>
      <c r="J50" s="30" t="s">
        <v>487</v>
      </c>
      <c r="K50" s="30"/>
      <c r="L50" s="30"/>
      <c r="M50" s="30"/>
      <c r="N50" s="30"/>
      <c r="O50" s="30"/>
      <c r="P50" s="30"/>
      <c r="Q50" s="30"/>
      <c r="R50" s="30" t="s">
        <v>617</v>
      </c>
      <c r="S50" s="30" t="s">
        <v>542</v>
      </c>
      <c r="T50" s="273" t="s">
        <v>479</v>
      </c>
      <c r="U50" s="30" t="s">
        <v>493</v>
      </c>
      <c r="V50" s="30"/>
      <c r="W50" s="257"/>
      <c r="X50" s="257"/>
      <c r="Y50" s="257"/>
      <c r="Z50" s="257" t="s">
        <v>144</v>
      </c>
    </row>
    <row r="51" spans="1:27" ht="16.5" customHeight="1" x14ac:dyDescent="0.3">
      <c r="A51" s="30"/>
      <c r="B51" s="30"/>
      <c r="C51" s="30"/>
      <c r="D51" s="30"/>
      <c r="E51" s="30"/>
      <c r="F51" s="273" t="s">
        <v>612</v>
      </c>
      <c r="G51" s="30" t="s">
        <v>596</v>
      </c>
      <c r="H51" s="30" t="s">
        <v>559</v>
      </c>
      <c r="I51" s="30" t="s">
        <v>487</v>
      </c>
      <c r="J51" s="30" t="s">
        <v>487</v>
      </c>
      <c r="K51" s="30"/>
      <c r="L51" s="30"/>
      <c r="M51" s="30"/>
      <c r="N51" s="30"/>
      <c r="O51" s="30"/>
      <c r="P51" s="30"/>
      <c r="Q51" s="30"/>
      <c r="R51" s="30" t="s">
        <v>618</v>
      </c>
      <c r="S51" s="30" t="s">
        <v>542</v>
      </c>
      <c r="T51" s="273" t="s">
        <v>479</v>
      </c>
      <c r="U51" s="30" t="s">
        <v>493</v>
      </c>
      <c r="V51" s="30"/>
      <c r="W51" s="257"/>
      <c r="X51" s="257"/>
      <c r="Y51" s="257"/>
      <c r="Z51" s="257" t="s">
        <v>144</v>
      </c>
      <c r="AA51" s="257"/>
    </row>
    <row r="52" spans="1:27" ht="16.5" customHeight="1" x14ac:dyDescent="0.3">
      <c r="A52" s="30"/>
      <c r="B52" s="30"/>
      <c r="C52" s="30"/>
      <c r="D52" s="30"/>
      <c r="E52" s="30"/>
      <c r="F52" s="273" t="s">
        <v>614</v>
      </c>
      <c r="G52" s="30" t="s">
        <v>596</v>
      </c>
      <c r="H52" s="30" t="s">
        <v>559</v>
      </c>
      <c r="I52" s="270" t="s">
        <v>505</v>
      </c>
      <c r="J52" s="30" t="s">
        <v>487</v>
      </c>
      <c r="K52" s="30"/>
      <c r="L52" s="30"/>
      <c r="M52" s="30"/>
      <c r="N52" s="30"/>
      <c r="O52" s="30"/>
      <c r="P52" s="30"/>
      <c r="Q52" s="30"/>
      <c r="R52" s="30" t="s">
        <v>619</v>
      </c>
      <c r="S52" s="30" t="s">
        <v>542</v>
      </c>
      <c r="T52" s="273" t="s">
        <v>479</v>
      </c>
      <c r="U52" s="30" t="s">
        <v>493</v>
      </c>
      <c r="V52" s="30"/>
      <c r="W52" s="257"/>
      <c r="X52" s="257"/>
      <c r="Y52" s="257"/>
      <c r="Z52" s="257" t="s">
        <v>144</v>
      </c>
      <c r="AA52" s="257"/>
    </row>
    <row r="53" spans="1:27" ht="16.5" customHeight="1" x14ac:dyDescent="0.3">
      <c r="A53" s="30"/>
      <c r="B53" s="30"/>
      <c r="C53" s="30"/>
      <c r="D53" s="30"/>
      <c r="E53" s="30"/>
      <c r="F53" s="273" t="s">
        <v>615</v>
      </c>
      <c r="G53" s="273" t="s">
        <v>596</v>
      </c>
      <c r="H53" s="273" t="s">
        <v>557</v>
      </c>
      <c r="I53" s="30" t="s">
        <v>487</v>
      </c>
      <c r="J53" s="30" t="s">
        <v>487</v>
      </c>
      <c r="K53" s="30"/>
      <c r="L53" s="30"/>
      <c r="M53" s="30"/>
      <c r="N53" s="30"/>
      <c r="O53" s="30"/>
      <c r="P53" s="30"/>
      <c r="Q53" s="30"/>
      <c r="R53" s="30" t="s">
        <v>393</v>
      </c>
      <c r="S53" s="30" t="s">
        <v>542</v>
      </c>
      <c r="T53" s="273" t="s">
        <v>479</v>
      </c>
      <c r="U53" s="30" t="s">
        <v>493</v>
      </c>
      <c r="V53" s="30"/>
      <c r="W53" s="257"/>
      <c r="X53" s="257"/>
      <c r="Y53" s="257"/>
      <c r="Z53" s="257" t="s">
        <v>144</v>
      </c>
      <c r="AA53" s="257"/>
    </row>
    <row r="54" spans="1:27" ht="16.5" customHeight="1" x14ac:dyDescent="0.3">
      <c r="A54" s="30"/>
      <c r="B54" s="30"/>
      <c r="C54" s="30"/>
      <c r="D54" s="30"/>
      <c r="E54" s="30"/>
      <c r="F54" s="273" t="s">
        <v>616</v>
      </c>
      <c r="G54" s="30" t="s">
        <v>596</v>
      </c>
      <c r="H54" s="30" t="s">
        <v>547</v>
      </c>
      <c r="I54" s="270" t="s">
        <v>505</v>
      </c>
      <c r="J54" s="30" t="s">
        <v>487</v>
      </c>
      <c r="K54" s="30"/>
      <c r="L54" s="30"/>
      <c r="M54" s="30"/>
      <c r="N54" s="30"/>
      <c r="O54" s="30"/>
      <c r="P54" s="30"/>
      <c r="Q54" s="30"/>
      <c r="R54" s="30" t="s">
        <v>394</v>
      </c>
      <c r="S54" s="30" t="s">
        <v>542</v>
      </c>
      <c r="T54" s="273" t="s">
        <v>479</v>
      </c>
      <c r="U54" s="30" t="s">
        <v>493</v>
      </c>
      <c r="V54" s="30"/>
      <c r="W54" s="257"/>
      <c r="X54" s="257"/>
      <c r="Y54" s="257"/>
      <c r="Z54" s="257" t="s">
        <v>620</v>
      </c>
      <c r="AA54" s="257"/>
    </row>
    <row r="55" spans="1:27" ht="16.5" customHeight="1" x14ac:dyDescent="0.3">
      <c r="A55" s="30"/>
      <c r="B55" s="30"/>
      <c r="C55" s="30"/>
      <c r="D55" s="30"/>
      <c r="E55" s="30"/>
      <c r="F55" s="30" t="s">
        <v>617</v>
      </c>
      <c r="G55" s="30" t="s">
        <v>596</v>
      </c>
      <c r="H55" s="30" t="s">
        <v>496</v>
      </c>
      <c r="I55" s="270" t="s">
        <v>505</v>
      </c>
      <c r="J55" s="30"/>
      <c r="K55" s="30"/>
      <c r="L55" s="30"/>
      <c r="M55" s="30"/>
      <c r="N55" s="30"/>
      <c r="O55" s="30"/>
      <c r="P55" s="30"/>
      <c r="Q55" s="30"/>
      <c r="R55" s="30" t="s">
        <v>395</v>
      </c>
      <c r="S55" s="30" t="s">
        <v>542</v>
      </c>
      <c r="T55" s="273" t="s">
        <v>479</v>
      </c>
      <c r="U55" s="30" t="s">
        <v>493</v>
      </c>
      <c r="V55" s="30"/>
      <c r="W55" s="257"/>
      <c r="X55" s="257"/>
      <c r="Y55" s="257"/>
      <c r="Z55" s="257"/>
      <c r="AA55" s="257"/>
    </row>
    <row r="56" spans="1:27" ht="16.5" customHeight="1" x14ac:dyDescent="0.3">
      <c r="A56" s="30"/>
      <c r="B56" s="30"/>
      <c r="C56" s="30"/>
      <c r="D56" s="30"/>
      <c r="E56" s="30"/>
      <c r="F56" s="30" t="s">
        <v>618</v>
      </c>
      <c r="G56" s="30" t="s">
        <v>596</v>
      </c>
      <c r="H56" s="30" t="s">
        <v>555</v>
      </c>
      <c r="I56" s="270" t="s">
        <v>505</v>
      </c>
      <c r="J56" s="30"/>
      <c r="K56" s="30"/>
      <c r="L56" s="30"/>
      <c r="M56" s="30"/>
      <c r="N56" s="30"/>
      <c r="O56" s="30"/>
      <c r="P56" s="30"/>
      <c r="Q56" s="30"/>
      <c r="R56" s="30" t="s">
        <v>621</v>
      </c>
      <c r="S56" s="30" t="s">
        <v>542</v>
      </c>
      <c r="T56" s="273" t="s">
        <v>479</v>
      </c>
      <c r="U56" s="30" t="s">
        <v>493</v>
      </c>
      <c r="V56" s="30"/>
      <c r="W56" s="257"/>
      <c r="X56" s="257"/>
      <c r="Y56" s="257"/>
      <c r="Z56" s="257"/>
      <c r="AA56" s="257"/>
    </row>
    <row r="57" spans="1:27" ht="16.5" customHeight="1" x14ac:dyDescent="0.3">
      <c r="A57" s="30"/>
      <c r="B57" s="30"/>
      <c r="C57" s="30"/>
      <c r="D57" s="30"/>
      <c r="E57" s="30"/>
      <c r="F57" s="273" t="s">
        <v>619</v>
      </c>
      <c r="G57" s="30" t="s">
        <v>596</v>
      </c>
      <c r="H57" s="30" t="s">
        <v>559</v>
      </c>
      <c r="I57" s="270" t="s">
        <v>505</v>
      </c>
      <c r="J57" s="30" t="s">
        <v>487</v>
      </c>
      <c r="K57" s="30"/>
      <c r="L57" s="30"/>
      <c r="M57" s="30"/>
      <c r="N57" s="30"/>
      <c r="O57" s="30"/>
      <c r="P57" s="30"/>
      <c r="Q57" s="30"/>
      <c r="R57" s="30" t="s">
        <v>622</v>
      </c>
      <c r="S57" s="30" t="s">
        <v>542</v>
      </c>
      <c r="T57" s="273" t="s">
        <v>479</v>
      </c>
      <c r="U57" s="30" t="s">
        <v>493</v>
      </c>
      <c r="V57" s="30"/>
      <c r="W57" s="257"/>
      <c r="X57" s="257"/>
      <c r="Y57" s="257"/>
      <c r="Z57" s="257"/>
      <c r="AA57" s="257"/>
    </row>
    <row r="58" spans="1:27" ht="16.5" customHeight="1" x14ac:dyDescent="0.3">
      <c r="A58" s="30"/>
      <c r="B58" s="30"/>
      <c r="C58" s="30"/>
      <c r="D58" s="30"/>
      <c r="E58" s="30"/>
      <c r="F58" s="273" t="s">
        <v>393</v>
      </c>
      <c r="G58" s="30" t="s">
        <v>579</v>
      </c>
      <c r="H58" s="30" t="s">
        <v>541</v>
      </c>
      <c r="I58" s="270" t="s">
        <v>505</v>
      </c>
      <c r="J58" s="30" t="s">
        <v>487</v>
      </c>
      <c r="K58" s="30"/>
      <c r="L58" s="30"/>
      <c r="M58" s="30"/>
      <c r="N58" s="30"/>
      <c r="O58" s="30"/>
      <c r="P58" s="30"/>
      <c r="Q58" s="30"/>
      <c r="R58" s="30" t="s">
        <v>623</v>
      </c>
      <c r="S58" s="30" t="s">
        <v>624</v>
      </c>
      <c r="T58" s="273" t="s">
        <v>479</v>
      </c>
      <c r="U58" s="30" t="s">
        <v>493</v>
      </c>
      <c r="V58" s="30"/>
      <c r="W58" s="257"/>
      <c r="X58" s="257"/>
      <c r="Y58" s="257"/>
      <c r="Z58" s="257"/>
      <c r="AA58" s="257"/>
    </row>
    <row r="59" spans="1:27" ht="16.5" customHeight="1" x14ac:dyDescent="0.3">
      <c r="A59" s="30"/>
      <c r="B59" s="30"/>
      <c r="C59" s="30"/>
      <c r="D59" s="30"/>
      <c r="E59" s="30"/>
      <c r="F59" s="273" t="s">
        <v>394</v>
      </c>
      <c r="G59" s="30" t="s">
        <v>579</v>
      </c>
      <c r="H59" s="30" t="s">
        <v>550</v>
      </c>
      <c r="I59" s="270" t="s">
        <v>505</v>
      </c>
      <c r="J59" s="30" t="s">
        <v>487</v>
      </c>
      <c r="K59" s="30"/>
      <c r="L59" s="30"/>
      <c r="M59" s="30"/>
      <c r="N59" s="30"/>
      <c r="O59" s="30"/>
      <c r="P59" s="30"/>
      <c r="Q59" s="30"/>
      <c r="R59" s="288" t="s">
        <v>625</v>
      </c>
      <c r="S59" s="30" t="s">
        <v>542</v>
      </c>
      <c r="T59" s="273" t="s">
        <v>479</v>
      </c>
      <c r="U59" s="30" t="s">
        <v>493</v>
      </c>
      <c r="V59" s="30"/>
      <c r="W59" s="257"/>
      <c r="X59" s="257"/>
      <c r="Y59" s="257"/>
      <c r="Z59" s="257"/>
      <c r="AA59" s="257"/>
    </row>
    <row r="60" spans="1:27" ht="16.5" customHeight="1" x14ac:dyDescent="0.3">
      <c r="A60" s="30"/>
      <c r="B60" s="30"/>
      <c r="C60" s="30"/>
      <c r="D60" s="30"/>
      <c r="E60" s="30"/>
      <c r="F60" s="30" t="s">
        <v>395</v>
      </c>
      <c r="G60" s="30" t="s">
        <v>579</v>
      </c>
      <c r="H60" s="30" t="s">
        <v>119</v>
      </c>
      <c r="I60" s="270" t="s">
        <v>505</v>
      </c>
      <c r="J60" s="30"/>
      <c r="K60" s="30"/>
      <c r="L60" s="30"/>
      <c r="M60" s="30"/>
      <c r="N60" s="30"/>
      <c r="O60" s="30"/>
      <c r="P60" s="30"/>
      <c r="Q60" s="30"/>
      <c r="R60" s="30" t="s">
        <v>400</v>
      </c>
      <c r="S60" s="30" t="s">
        <v>542</v>
      </c>
      <c r="T60" s="273" t="s">
        <v>479</v>
      </c>
      <c r="U60" s="30" t="s">
        <v>493</v>
      </c>
      <c r="V60" s="30"/>
      <c r="W60" s="257"/>
      <c r="X60" s="257"/>
      <c r="Y60" s="257"/>
      <c r="Z60" s="257"/>
      <c r="AA60" s="257"/>
    </row>
    <row r="61" spans="1:27" ht="16.5" customHeight="1" x14ac:dyDescent="0.3">
      <c r="A61" s="30"/>
      <c r="B61" s="30"/>
      <c r="C61" s="30"/>
      <c r="D61" s="30"/>
      <c r="E61" s="30"/>
      <c r="F61" s="273" t="s">
        <v>621</v>
      </c>
      <c r="G61" s="30" t="s">
        <v>596</v>
      </c>
      <c r="H61" s="30" t="s">
        <v>557</v>
      </c>
      <c r="I61" s="270" t="s">
        <v>505</v>
      </c>
      <c r="J61" s="30" t="s">
        <v>487</v>
      </c>
      <c r="K61" s="30"/>
      <c r="L61" s="30"/>
      <c r="M61" s="30"/>
      <c r="N61" s="30"/>
      <c r="O61" s="30"/>
      <c r="P61" s="30"/>
      <c r="Q61" s="30"/>
      <c r="R61" s="30" t="s">
        <v>401</v>
      </c>
      <c r="S61" s="30" t="s">
        <v>542</v>
      </c>
      <c r="T61" s="273" t="s">
        <v>479</v>
      </c>
      <c r="U61" s="30" t="s">
        <v>493</v>
      </c>
      <c r="V61" s="30"/>
      <c r="W61" s="257"/>
      <c r="X61" s="257"/>
      <c r="Y61" t="s">
        <v>484</v>
      </c>
      <c r="Z61" t="s">
        <v>144</v>
      </c>
      <c r="AA61" t="s">
        <v>492</v>
      </c>
    </row>
    <row r="62" spans="1:27" ht="16.5" customHeight="1" x14ac:dyDescent="0.3">
      <c r="A62" s="30"/>
      <c r="B62" s="30"/>
      <c r="C62" s="30"/>
      <c r="D62" s="30"/>
      <c r="E62" s="30"/>
      <c r="F62" s="273" t="s">
        <v>622</v>
      </c>
      <c r="G62" s="30" t="s">
        <v>626</v>
      </c>
      <c r="H62" s="30" t="s">
        <v>547</v>
      </c>
      <c r="I62" s="30" t="s">
        <v>487</v>
      </c>
      <c r="J62" s="30" t="s">
        <v>487</v>
      </c>
      <c r="K62" s="30"/>
      <c r="L62" s="30"/>
      <c r="M62" s="30"/>
      <c r="N62" s="30"/>
      <c r="O62" s="30"/>
      <c r="P62" s="30"/>
      <c r="Q62" s="30"/>
      <c r="R62" s="30" t="s">
        <v>627</v>
      </c>
      <c r="S62" s="296" t="s">
        <v>624</v>
      </c>
      <c r="T62" s="273" t="s">
        <v>479</v>
      </c>
      <c r="U62" s="30" t="s">
        <v>493</v>
      </c>
      <c r="V62" s="30"/>
      <c r="W62" s="257"/>
      <c r="X62" s="257"/>
      <c r="Y62" s="297" t="s">
        <v>503</v>
      </c>
      <c r="Z62" s="298" t="s">
        <v>144</v>
      </c>
      <c r="AA62" s="299" t="s">
        <v>508</v>
      </c>
    </row>
    <row r="63" spans="1:27" ht="16.5" customHeight="1" x14ac:dyDescent="0.3">
      <c r="A63" s="30"/>
      <c r="B63" s="30"/>
      <c r="C63" s="30"/>
      <c r="D63" s="30"/>
      <c r="E63" s="30"/>
      <c r="F63" s="30" t="s">
        <v>623</v>
      </c>
      <c r="G63" s="30" t="s">
        <v>628</v>
      </c>
      <c r="H63" s="30" t="s">
        <v>541</v>
      </c>
      <c r="I63" s="30" t="s">
        <v>487</v>
      </c>
      <c r="J63" s="30"/>
      <c r="K63" s="30"/>
      <c r="L63" s="30"/>
      <c r="M63" s="30"/>
      <c r="N63" s="30"/>
      <c r="O63" s="30"/>
      <c r="P63" s="30"/>
      <c r="Q63" s="30"/>
      <c r="R63" s="30" t="s">
        <v>403</v>
      </c>
      <c r="S63" s="30" t="s">
        <v>624</v>
      </c>
      <c r="T63" s="273" t="s">
        <v>479</v>
      </c>
      <c r="U63" s="30" t="s">
        <v>493</v>
      </c>
      <c r="V63" s="30"/>
      <c r="W63" s="257"/>
      <c r="X63" s="257"/>
      <c r="Y63" s="282" t="s">
        <v>546</v>
      </c>
      <c r="Z63" s="300" t="s">
        <v>144</v>
      </c>
      <c r="AA63" s="299" t="s">
        <v>479</v>
      </c>
    </row>
    <row r="64" spans="1:27" ht="16.5" customHeight="1" x14ac:dyDescent="0.3">
      <c r="A64" s="30"/>
      <c r="B64" s="30"/>
      <c r="C64" s="30"/>
      <c r="D64" s="30"/>
      <c r="E64" s="30"/>
      <c r="F64" s="30" t="s">
        <v>625</v>
      </c>
      <c r="G64" s="30" t="s">
        <v>628</v>
      </c>
      <c r="H64" s="30" t="s">
        <v>559</v>
      </c>
      <c r="I64" s="30" t="s">
        <v>487</v>
      </c>
      <c r="J64" s="30"/>
      <c r="K64" s="30"/>
      <c r="L64" s="30"/>
      <c r="M64" s="30"/>
      <c r="N64" s="30"/>
      <c r="O64" s="30"/>
      <c r="P64" s="30"/>
      <c r="Q64" s="30"/>
      <c r="R64" s="30" t="s">
        <v>404</v>
      </c>
      <c r="S64" s="30" t="s">
        <v>542</v>
      </c>
      <c r="T64" s="273" t="s">
        <v>479</v>
      </c>
      <c r="U64" s="30" t="s">
        <v>493</v>
      </c>
      <c r="V64" s="30"/>
      <c r="W64" s="257"/>
      <c r="X64" s="257"/>
      <c r="Y64" s="282" t="s">
        <v>565</v>
      </c>
      <c r="Z64" s="300" t="s">
        <v>144</v>
      </c>
      <c r="AA64" s="299" t="s">
        <v>516</v>
      </c>
    </row>
    <row r="65" spans="1:27" ht="16.5" customHeight="1" x14ac:dyDescent="0.3">
      <c r="A65" s="30"/>
      <c r="B65" s="30"/>
      <c r="C65" s="30"/>
      <c r="D65" s="30"/>
      <c r="E65" s="30"/>
      <c r="F65" s="30" t="s">
        <v>400</v>
      </c>
      <c r="G65" s="30" t="s">
        <v>628</v>
      </c>
      <c r="H65" s="30" t="s">
        <v>550</v>
      </c>
      <c r="I65" s="30" t="s">
        <v>487</v>
      </c>
      <c r="J65" s="30"/>
      <c r="K65" s="30"/>
      <c r="L65" s="30"/>
      <c r="M65" s="30"/>
      <c r="N65" s="30"/>
      <c r="O65" s="30"/>
      <c r="P65" s="30"/>
      <c r="Q65" s="30"/>
      <c r="R65" s="30" t="s">
        <v>629</v>
      </c>
      <c r="S65" s="30" t="s">
        <v>624</v>
      </c>
      <c r="T65" s="273" t="s">
        <v>516</v>
      </c>
      <c r="U65" s="30" t="s">
        <v>509</v>
      </c>
      <c r="V65" s="30"/>
      <c r="W65" s="257"/>
      <c r="X65" s="257"/>
      <c r="Y65" t="s">
        <v>413</v>
      </c>
      <c r="Z65" t="s">
        <v>144</v>
      </c>
      <c r="AA65" t="s">
        <v>480</v>
      </c>
    </row>
    <row r="66" spans="1:27" ht="16.5" customHeight="1" x14ac:dyDescent="0.3">
      <c r="A66" s="30"/>
      <c r="B66" s="30"/>
      <c r="C66" s="30"/>
      <c r="D66" s="30"/>
      <c r="E66" s="30"/>
      <c r="F66" s="30" t="s">
        <v>401</v>
      </c>
      <c r="G66" s="30" t="s">
        <v>628</v>
      </c>
      <c r="H66" s="30" t="s">
        <v>557</v>
      </c>
      <c r="I66" s="30" t="s">
        <v>487</v>
      </c>
      <c r="J66" s="30"/>
      <c r="K66" s="30"/>
      <c r="L66" s="30"/>
      <c r="M66" s="30"/>
      <c r="N66" s="30"/>
      <c r="O66" s="30"/>
      <c r="P66" s="30"/>
      <c r="Q66" s="30"/>
      <c r="R66" s="30" t="s">
        <v>120</v>
      </c>
      <c r="S66" s="30" t="s">
        <v>630</v>
      </c>
      <c r="T66" s="273" t="s">
        <v>631</v>
      </c>
      <c r="U66" s="30" t="s">
        <v>509</v>
      </c>
      <c r="V66" s="30"/>
      <c r="W66" s="257"/>
      <c r="X66" s="257"/>
      <c r="Y66" s="257" t="s">
        <v>416</v>
      </c>
      <c r="Z66" s="257" t="s">
        <v>144</v>
      </c>
      <c r="AA66" s="283" t="s">
        <v>481</v>
      </c>
    </row>
    <row r="67" spans="1:27" ht="16.5" customHeight="1" x14ac:dyDescent="0.3">
      <c r="A67" s="30"/>
      <c r="B67" s="30"/>
      <c r="C67" s="30"/>
      <c r="D67" s="30"/>
      <c r="E67" s="30"/>
      <c r="F67" s="30" t="s">
        <v>627</v>
      </c>
      <c r="G67" s="30" t="s">
        <v>600</v>
      </c>
      <c r="H67" s="30" t="s">
        <v>119</v>
      </c>
      <c r="I67" s="30" t="s">
        <v>487</v>
      </c>
      <c r="J67" s="30"/>
      <c r="K67" s="30"/>
      <c r="L67" s="30"/>
      <c r="M67" s="30"/>
      <c r="N67" s="30"/>
      <c r="O67" s="30"/>
      <c r="P67" s="30"/>
      <c r="Q67" s="30"/>
      <c r="R67" s="30" t="s">
        <v>632</v>
      </c>
      <c r="S67" s="30" t="s">
        <v>491</v>
      </c>
      <c r="T67" s="264" t="s">
        <v>492</v>
      </c>
      <c r="U67" s="30" t="s">
        <v>493</v>
      </c>
      <c r="V67" s="30"/>
      <c r="W67" s="257"/>
      <c r="X67" s="257"/>
      <c r="Y67" s="257" t="s">
        <v>431</v>
      </c>
      <c r="Z67" s="257" t="s">
        <v>144</v>
      </c>
      <c r="AA67" s="283" t="s">
        <v>631</v>
      </c>
    </row>
    <row r="68" spans="1:27" ht="16.5" customHeight="1" x14ac:dyDescent="0.3">
      <c r="A68" s="30"/>
      <c r="B68" s="30"/>
      <c r="C68" s="30"/>
      <c r="D68" s="30"/>
      <c r="E68" s="30"/>
      <c r="F68" s="30" t="s">
        <v>403</v>
      </c>
      <c r="G68" s="30" t="s">
        <v>628</v>
      </c>
      <c r="H68" s="30" t="s">
        <v>119</v>
      </c>
      <c r="I68" s="30" t="s">
        <v>487</v>
      </c>
      <c r="J68" s="30"/>
      <c r="K68" s="30"/>
      <c r="L68" s="30"/>
      <c r="M68" s="30"/>
      <c r="N68" s="30"/>
      <c r="O68" s="30"/>
      <c r="P68" s="30"/>
      <c r="Q68" s="30"/>
      <c r="R68" s="30" t="s">
        <v>406</v>
      </c>
      <c r="S68" s="30" t="s">
        <v>630</v>
      </c>
      <c r="T68" s="273" t="s">
        <v>631</v>
      </c>
      <c r="U68" s="30" t="s">
        <v>509</v>
      </c>
      <c r="V68" s="30"/>
      <c r="W68" s="257"/>
      <c r="X68" s="257"/>
      <c r="Y68" t="s">
        <v>407</v>
      </c>
      <c r="Z68" t="s">
        <v>144</v>
      </c>
      <c r="AA68" t="s">
        <v>482</v>
      </c>
    </row>
    <row r="69" spans="1:27" ht="16.5" customHeight="1" x14ac:dyDescent="0.3">
      <c r="A69" s="30"/>
      <c r="B69" s="30"/>
      <c r="C69" s="30"/>
      <c r="D69" s="30"/>
      <c r="E69" s="30"/>
      <c r="F69" s="30" t="s">
        <v>404</v>
      </c>
      <c r="G69" s="30" t="s">
        <v>628</v>
      </c>
      <c r="H69" s="30" t="s">
        <v>550</v>
      </c>
      <c r="I69" s="30" t="s">
        <v>487</v>
      </c>
      <c r="J69" s="30"/>
      <c r="K69" s="30"/>
      <c r="L69" s="30"/>
      <c r="M69" s="30"/>
      <c r="N69" s="30"/>
      <c r="O69" s="30"/>
      <c r="P69" s="30"/>
      <c r="Q69" s="30"/>
      <c r="R69" s="30" t="s">
        <v>407</v>
      </c>
      <c r="S69" s="30" t="s">
        <v>630</v>
      </c>
      <c r="T69" s="30" t="s">
        <v>482</v>
      </c>
      <c r="U69" s="30" t="s">
        <v>509</v>
      </c>
      <c r="V69" s="30"/>
      <c r="W69" s="257"/>
      <c r="X69" s="257"/>
      <c r="Y69" s="257"/>
      <c r="Z69" s="257"/>
      <c r="AA69" s="257"/>
    </row>
    <row r="70" spans="1:27" ht="16.5" customHeight="1" x14ac:dyDescent="0.3">
      <c r="A70" s="30"/>
      <c r="B70" s="30"/>
      <c r="C70" s="30"/>
      <c r="D70" s="30"/>
      <c r="E70" s="30"/>
      <c r="F70" s="301" t="s">
        <v>629</v>
      </c>
      <c r="G70" s="30" t="s">
        <v>633</v>
      </c>
      <c r="H70" s="30" t="s">
        <v>550</v>
      </c>
      <c r="I70" s="30" t="s">
        <v>487</v>
      </c>
      <c r="J70" s="30"/>
      <c r="K70" s="30"/>
      <c r="L70" s="30"/>
      <c r="M70" s="30"/>
      <c r="N70" s="30"/>
      <c r="O70" s="30"/>
      <c r="P70" s="30"/>
      <c r="Q70" s="30"/>
      <c r="R70" s="30" t="s">
        <v>634</v>
      </c>
      <c r="S70" s="30" t="s">
        <v>491</v>
      </c>
      <c r="T70" s="264" t="s">
        <v>492</v>
      </c>
      <c r="U70" s="30" t="s">
        <v>493</v>
      </c>
      <c r="V70" s="30"/>
      <c r="W70" s="257"/>
      <c r="X70" s="257"/>
      <c r="Y70" s="257"/>
      <c r="Z70" s="257"/>
      <c r="AA70" s="257"/>
    </row>
    <row r="71" spans="1:27" ht="16.5" customHeight="1" x14ac:dyDescent="0.3">
      <c r="A71" s="30"/>
      <c r="B71" s="30"/>
      <c r="C71" s="30"/>
      <c r="D71" s="30"/>
      <c r="E71" s="30"/>
      <c r="F71" s="30" t="s">
        <v>120</v>
      </c>
      <c r="G71" s="30" t="s">
        <v>635</v>
      </c>
      <c r="H71" s="30" t="s">
        <v>119</v>
      </c>
      <c r="I71" s="30" t="s">
        <v>487</v>
      </c>
      <c r="J71" s="30"/>
      <c r="K71" s="30"/>
      <c r="L71" s="30"/>
      <c r="M71" s="30"/>
      <c r="N71" s="30"/>
      <c r="O71" s="30"/>
      <c r="P71" s="30"/>
      <c r="Q71" s="30"/>
      <c r="R71" s="30" t="s">
        <v>409</v>
      </c>
      <c r="S71" s="30" t="s">
        <v>636</v>
      </c>
      <c r="T71" s="273" t="s">
        <v>479</v>
      </c>
      <c r="U71" s="30" t="s">
        <v>493</v>
      </c>
      <c r="V71" s="30"/>
      <c r="W71" s="257"/>
      <c r="X71" s="257"/>
      <c r="Y71" s="257"/>
      <c r="Z71" s="257"/>
      <c r="AA71" s="257"/>
    </row>
    <row r="72" spans="1:27" ht="16.5" customHeight="1" x14ac:dyDescent="0.3">
      <c r="A72" s="30"/>
      <c r="B72" s="30"/>
      <c r="C72" s="30"/>
      <c r="D72" s="30"/>
      <c r="E72" s="30"/>
      <c r="F72" s="30" t="s">
        <v>632</v>
      </c>
      <c r="G72" s="30" t="s">
        <v>485</v>
      </c>
      <c r="H72" s="30" t="s">
        <v>530</v>
      </c>
      <c r="I72" s="30" t="s">
        <v>487</v>
      </c>
      <c r="J72" s="30"/>
      <c r="K72" s="30"/>
      <c r="L72" s="30"/>
      <c r="M72" s="30"/>
      <c r="N72" s="30"/>
      <c r="O72" s="30"/>
      <c r="P72" s="30"/>
      <c r="Q72" s="30"/>
      <c r="R72" s="30" t="s">
        <v>410</v>
      </c>
      <c r="S72" s="30" t="s">
        <v>636</v>
      </c>
      <c r="T72" s="273" t="s">
        <v>479</v>
      </c>
      <c r="U72" s="30" t="s">
        <v>493</v>
      </c>
      <c r="V72" s="30"/>
      <c r="W72" s="257"/>
      <c r="X72" s="257"/>
      <c r="Y72" s="257"/>
      <c r="Z72" s="257"/>
      <c r="AA72" s="257"/>
    </row>
    <row r="73" spans="1:27" ht="16.5" customHeight="1" x14ac:dyDescent="0.3">
      <c r="A73" s="30"/>
      <c r="B73" s="30"/>
      <c r="C73" s="30"/>
      <c r="D73" s="30"/>
      <c r="E73" s="30"/>
      <c r="F73" s="30" t="s">
        <v>406</v>
      </c>
      <c r="G73" s="30" t="s">
        <v>628</v>
      </c>
      <c r="H73" s="30" t="s">
        <v>550</v>
      </c>
      <c r="I73" s="30" t="s">
        <v>487</v>
      </c>
      <c r="J73" s="30"/>
      <c r="K73" s="30"/>
      <c r="L73" s="30"/>
      <c r="M73" s="30"/>
      <c r="N73" s="30"/>
      <c r="O73" s="30"/>
      <c r="P73" s="30"/>
      <c r="Q73" s="30"/>
      <c r="R73" s="30" t="s">
        <v>411</v>
      </c>
      <c r="S73" s="30" t="s">
        <v>636</v>
      </c>
      <c r="T73" s="273" t="s">
        <v>479</v>
      </c>
      <c r="U73" s="30" t="s">
        <v>493</v>
      </c>
      <c r="V73" s="30"/>
      <c r="W73" s="257"/>
      <c r="X73" s="257"/>
      <c r="Y73" s="257"/>
      <c r="Z73" s="257"/>
      <c r="AA73" s="257"/>
    </row>
    <row r="74" spans="1:27" ht="16.5" customHeight="1" x14ac:dyDescent="0.3">
      <c r="A74" s="30"/>
      <c r="B74" s="30"/>
      <c r="C74" s="30"/>
      <c r="D74" s="30"/>
      <c r="E74" s="30"/>
      <c r="F74" s="30" t="s">
        <v>407</v>
      </c>
      <c r="G74" s="30" t="s">
        <v>605</v>
      </c>
      <c r="H74" s="30" t="s">
        <v>555</v>
      </c>
      <c r="I74" s="30" t="s">
        <v>487</v>
      </c>
      <c r="J74" s="30"/>
      <c r="K74" s="30"/>
      <c r="L74" s="30"/>
      <c r="M74" s="30"/>
      <c r="N74" s="30"/>
      <c r="O74" s="30"/>
      <c r="P74" s="30"/>
      <c r="Q74" s="30"/>
      <c r="R74" s="30" t="s">
        <v>412</v>
      </c>
      <c r="S74" s="30" t="s">
        <v>636</v>
      </c>
      <c r="T74" s="273" t="s">
        <v>479</v>
      </c>
      <c r="U74" s="30" t="s">
        <v>493</v>
      </c>
      <c r="V74" s="30"/>
      <c r="W74" s="257"/>
      <c r="X74" s="257"/>
      <c r="Y74" s="257"/>
      <c r="Z74" s="257"/>
      <c r="AA74" s="257"/>
    </row>
    <row r="75" spans="1:27" ht="16.5" customHeight="1" x14ac:dyDescent="0.3">
      <c r="A75" s="30"/>
      <c r="B75" s="30"/>
      <c r="C75" s="30"/>
      <c r="D75" s="30"/>
      <c r="E75" s="30"/>
      <c r="F75" s="30" t="s">
        <v>634</v>
      </c>
      <c r="G75" s="30" t="s">
        <v>485</v>
      </c>
      <c r="H75" s="30" t="s">
        <v>535</v>
      </c>
      <c r="I75" s="30" t="s">
        <v>487</v>
      </c>
      <c r="J75" s="30"/>
      <c r="K75" s="30"/>
      <c r="L75" s="30"/>
      <c r="M75" s="30"/>
      <c r="N75" s="30"/>
      <c r="O75" s="30"/>
      <c r="P75" s="30"/>
      <c r="Q75" s="30"/>
      <c r="R75" s="288" t="s">
        <v>413</v>
      </c>
      <c r="S75" s="30" t="s">
        <v>630</v>
      </c>
      <c r="T75" s="273" t="s">
        <v>480</v>
      </c>
      <c r="U75" s="30" t="s">
        <v>493</v>
      </c>
      <c r="V75" s="30"/>
      <c r="W75" s="257"/>
      <c r="X75" s="257"/>
      <c r="Y75" s="257"/>
      <c r="Z75" s="257"/>
      <c r="AA75" s="257"/>
    </row>
    <row r="76" spans="1:27" ht="24" customHeight="1" x14ac:dyDescent="0.3">
      <c r="A76" s="30"/>
      <c r="B76" s="30"/>
      <c r="C76" s="30"/>
      <c r="D76" s="30"/>
      <c r="E76" s="30"/>
      <c r="F76" s="30" t="s">
        <v>409</v>
      </c>
      <c r="G76" s="30" t="s">
        <v>637</v>
      </c>
      <c r="H76" s="30" t="s">
        <v>483</v>
      </c>
      <c r="I76" s="30" t="s">
        <v>487</v>
      </c>
      <c r="J76" s="30"/>
      <c r="K76" s="30"/>
      <c r="L76" s="30"/>
      <c r="M76" s="30"/>
      <c r="N76" s="30"/>
      <c r="O76" s="30"/>
      <c r="P76" s="30"/>
      <c r="Q76" s="30"/>
      <c r="R76" s="30" t="s">
        <v>638</v>
      </c>
      <c r="S76" s="296" t="s">
        <v>639</v>
      </c>
      <c r="T76" s="273" t="s">
        <v>516</v>
      </c>
      <c r="U76" s="30" t="s">
        <v>509</v>
      </c>
      <c r="V76" s="30"/>
      <c r="W76" s="257"/>
      <c r="X76" s="257"/>
      <c r="Y76" s="257"/>
      <c r="Z76" s="257"/>
      <c r="AA76" s="257"/>
    </row>
    <row r="77" spans="1:27" ht="16.5" customHeight="1" x14ac:dyDescent="0.3">
      <c r="A77" s="30"/>
      <c r="B77" s="30"/>
      <c r="C77" s="30"/>
      <c r="D77" s="30"/>
      <c r="E77" s="30"/>
      <c r="F77" s="30" t="s">
        <v>410</v>
      </c>
      <c r="G77" s="30" t="s">
        <v>637</v>
      </c>
      <c r="H77" s="30" t="s">
        <v>483</v>
      </c>
      <c r="I77" s="30" t="s">
        <v>487</v>
      </c>
      <c r="J77" s="30"/>
      <c r="K77" s="30"/>
      <c r="L77" s="30"/>
      <c r="M77" s="30"/>
      <c r="N77" s="30"/>
      <c r="O77" s="30"/>
      <c r="P77" s="30"/>
      <c r="Q77" s="30"/>
      <c r="R77" s="30" t="s">
        <v>640</v>
      </c>
      <c r="S77" s="30" t="s">
        <v>641</v>
      </c>
      <c r="T77" s="273" t="s">
        <v>516</v>
      </c>
      <c r="U77" s="30" t="s">
        <v>509</v>
      </c>
      <c r="V77" s="30"/>
      <c r="W77" s="257"/>
      <c r="X77" s="257"/>
      <c r="Y77" s="257"/>
      <c r="Z77" s="257"/>
      <c r="AA77" s="257"/>
    </row>
    <row r="78" spans="1:27" ht="16.5" customHeight="1" x14ac:dyDescent="0.3">
      <c r="A78" s="30"/>
      <c r="B78" s="30"/>
      <c r="C78" s="30"/>
      <c r="D78" s="30"/>
      <c r="E78" s="30"/>
      <c r="F78" s="30" t="s">
        <v>411</v>
      </c>
      <c r="G78" s="30" t="s">
        <v>637</v>
      </c>
      <c r="H78" s="30" t="s">
        <v>483</v>
      </c>
      <c r="I78" s="30" t="s">
        <v>487</v>
      </c>
      <c r="J78" s="30"/>
      <c r="K78" s="30"/>
      <c r="L78" s="30"/>
      <c r="M78" s="30"/>
      <c r="N78" s="30"/>
      <c r="O78" s="30"/>
      <c r="P78" s="30"/>
      <c r="Q78" s="30"/>
      <c r="R78" s="30" t="s">
        <v>416</v>
      </c>
      <c r="S78" s="30" t="s">
        <v>630</v>
      </c>
      <c r="T78" s="273" t="s">
        <v>481</v>
      </c>
      <c r="U78" s="30" t="s">
        <v>509</v>
      </c>
      <c r="V78" s="30"/>
      <c r="W78" s="257"/>
      <c r="X78" s="257"/>
      <c r="Y78" s="257"/>
      <c r="Z78" s="257"/>
      <c r="AA78" s="257"/>
    </row>
    <row r="79" spans="1:27" ht="16.5" customHeight="1" x14ac:dyDescent="0.3">
      <c r="A79" s="30"/>
      <c r="B79" s="30"/>
      <c r="C79" s="30"/>
      <c r="D79" s="30"/>
      <c r="E79" s="30"/>
      <c r="F79" s="30" t="s">
        <v>412</v>
      </c>
      <c r="G79" s="30" t="s">
        <v>637</v>
      </c>
      <c r="H79" s="30" t="s">
        <v>483</v>
      </c>
      <c r="I79" s="30" t="s">
        <v>487</v>
      </c>
      <c r="J79" s="30"/>
      <c r="K79" s="30"/>
      <c r="L79" s="30"/>
      <c r="M79" s="30"/>
      <c r="N79" s="30"/>
      <c r="O79" s="30"/>
      <c r="P79" s="30"/>
      <c r="Q79" s="30"/>
      <c r="R79" s="30" t="s">
        <v>642</v>
      </c>
      <c r="S79" s="30" t="s">
        <v>491</v>
      </c>
      <c r="T79" s="264" t="s">
        <v>492</v>
      </c>
      <c r="U79" s="30" t="s">
        <v>493</v>
      </c>
      <c r="V79" s="30"/>
      <c r="W79" s="257"/>
      <c r="X79" s="257"/>
      <c r="Y79" s="257"/>
      <c r="Z79" s="257"/>
      <c r="AA79" s="257"/>
    </row>
    <row r="80" spans="1:27" ht="16.5" customHeight="1" x14ac:dyDescent="0.3">
      <c r="A80" s="30"/>
      <c r="B80" s="30"/>
      <c r="C80" s="30"/>
      <c r="D80" s="30"/>
      <c r="E80" s="30"/>
      <c r="F80" s="30" t="s">
        <v>413</v>
      </c>
      <c r="G80" s="30" t="s">
        <v>633</v>
      </c>
      <c r="H80" s="30" t="s">
        <v>483</v>
      </c>
      <c r="I80" s="30" t="s">
        <v>487</v>
      </c>
      <c r="J80" s="30"/>
      <c r="K80" s="30"/>
      <c r="L80" s="30"/>
      <c r="M80" s="30"/>
      <c r="N80" s="30"/>
      <c r="O80" s="30"/>
      <c r="P80" s="30"/>
      <c r="Q80" s="30"/>
      <c r="R80" s="285" t="s">
        <v>643</v>
      </c>
      <c r="S80" s="30" t="s">
        <v>542</v>
      </c>
      <c r="T80" s="273" t="s">
        <v>516</v>
      </c>
      <c r="U80" s="30" t="s">
        <v>509</v>
      </c>
      <c r="V80" s="30"/>
      <c r="W80" s="257"/>
      <c r="X80" s="257"/>
      <c r="Y80" s="257"/>
      <c r="Z80" s="257"/>
      <c r="AA80" s="257"/>
    </row>
    <row r="81" spans="1:27" ht="16.5" customHeight="1" x14ac:dyDescent="0.3">
      <c r="A81" s="30"/>
      <c r="B81" s="30"/>
      <c r="C81" s="30"/>
      <c r="D81" s="30"/>
      <c r="E81" s="30"/>
      <c r="F81" s="30" t="s">
        <v>638</v>
      </c>
      <c r="G81" s="30" t="s">
        <v>596</v>
      </c>
      <c r="H81" s="30" t="s">
        <v>483</v>
      </c>
      <c r="I81" s="30" t="s">
        <v>487</v>
      </c>
      <c r="J81" s="30"/>
      <c r="K81" s="30"/>
      <c r="L81" s="30"/>
      <c r="M81" s="30"/>
      <c r="N81" s="30"/>
      <c r="O81" s="30"/>
      <c r="P81" s="30"/>
      <c r="Q81" s="30"/>
      <c r="R81" s="30" t="s">
        <v>419</v>
      </c>
      <c r="S81" s="30" t="s">
        <v>491</v>
      </c>
      <c r="T81" s="264" t="s">
        <v>492</v>
      </c>
      <c r="U81" s="30" t="s">
        <v>493</v>
      </c>
      <c r="V81" s="30"/>
      <c r="W81" s="257"/>
      <c r="X81" s="257"/>
      <c r="Y81" s="257"/>
      <c r="Z81" s="257"/>
      <c r="AA81" s="257"/>
    </row>
    <row r="82" spans="1:27" ht="16.5" customHeight="1" x14ac:dyDescent="0.4">
      <c r="A82" s="30"/>
      <c r="B82" s="30"/>
      <c r="C82" s="30"/>
      <c r="D82" s="30"/>
      <c r="E82" s="30"/>
      <c r="F82" s="30" t="s">
        <v>640</v>
      </c>
      <c r="G82" s="30" t="s">
        <v>633</v>
      </c>
      <c r="H82" s="30" t="s">
        <v>483</v>
      </c>
      <c r="I82" s="270" t="s">
        <v>505</v>
      </c>
      <c r="J82" s="30"/>
      <c r="K82" s="30"/>
      <c r="L82" s="30"/>
      <c r="M82" s="30"/>
      <c r="N82" s="30"/>
      <c r="O82" s="30"/>
      <c r="P82" s="30"/>
      <c r="Q82" s="30"/>
      <c r="R82" s="30" t="s">
        <v>644</v>
      </c>
      <c r="S82" s="30" t="s">
        <v>630</v>
      </c>
      <c r="T82" s="30" t="s">
        <v>482</v>
      </c>
      <c r="U82" s="30" t="s">
        <v>509</v>
      </c>
      <c r="V82" s="30"/>
      <c r="W82" s="302"/>
      <c r="X82" s="302"/>
      <c r="Y82" s="302"/>
      <c r="Z82" s="302"/>
      <c r="AA82" s="302"/>
    </row>
    <row r="83" spans="1:27" ht="16.5" customHeight="1" x14ac:dyDescent="0.4">
      <c r="A83" s="30"/>
      <c r="B83" s="30"/>
      <c r="C83" s="30"/>
      <c r="D83" s="30"/>
      <c r="E83" s="30"/>
      <c r="F83" s="30" t="s">
        <v>416</v>
      </c>
      <c r="G83" s="30" t="s">
        <v>600</v>
      </c>
      <c r="H83" s="30" t="s">
        <v>119</v>
      </c>
      <c r="I83" s="30" t="s">
        <v>487</v>
      </c>
      <c r="J83" s="30"/>
      <c r="K83" s="30"/>
      <c r="L83" s="30"/>
      <c r="M83" s="30"/>
      <c r="N83" s="30"/>
      <c r="O83" s="30"/>
      <c r="P83" s="30"/>
      <c r="Q83" s="30"/>
      <c r="R83" s="30" t="s">
        <v>645</v>
      </c>
      <c r="S83" s="30" t="s">
        <v>491</v>
      </c>
      <c r="T83" s="264" t="s">
        <v>492</v>
      </c>
      <c r="U83" s="30" t="s">
        <v>493</v>
      </c>
      <c r="V83" s="30"/>
      <c r="W83" s="302"/>
      <c r="X83" s="302"/>
      <c r="Y83" s="302"/>
      <c r="Z83" s="302"/>
      <c r="AA83" s="302"/>
    </row>
    <row r="84" spans="1:27" ht="16.5" customHeight="1" x14ac:dyDescent="0.4">
      <c r="A84" s="30"/>
      <c r="B84" s="30"/>
      <c r="C84" s="30"/>
      <c r="D84" s="30"/>
      <c r="E84" s="30"/>
      <c r="F84" s="30" t="s">
        <v>642</v>
      </c>
      <c r="G84" s="30" t="s">
        <v>485</v>
      </c>
      <c r="H84" s="30" t="s">
        <v>539</v>
      </c>
      <c r="I84" s="30" t="s">
        <v>487</v>
      </c>
      <c r="J84" s="30"/>
      <c r="K84" s="30"/>
      <c r="L84" s="30"/>
      <c r="M84" s="30"/>
      <c r="N84" s="30"/>
      <c r="O84" s="30"/>
      <c r="P84" s="30"/>
      <c r="Q84" s="30"/>
      <c r="R84" s="30" t="s">
        <v>646</v>
      </c>
      <c r="S84" s="30" t="s">
        <v>491</v>
      </c>
      <c r="T84" s="264" t="s">
        <v>492</v>
      </c>
      <c r="U84" s="30" t="s">
        <v>493</v>
      </c>
      <c r="V84" s="30"/>
      <c r="W84" s="302"/>
      <c r="X84" s="302"/>
      <c r="Y84" s="302"/>
      <c r="Z84" s="302"/>
      <c r="AA84" s="302"/>
    </row>
    <row r="85" spans="1:27" ht="16.5" customHeight="1" x14ac:dyDescent="0.3">
      <c r="A85" s="30"/>
      <c r="B85" s="30"/>
      <c r="C85" s="30"/>
      <c r="D85" s="30"/>
      <c r="E85" s="30"/>
      <c r="F85" s="284" t="s">
        <v>643</v>
      </c>
      <c r="G85" s="30" t="s">
        <v>598</v>
      </c>
      <c r="H85" s="30" t="s">
        <v>557</v>
      </c>
      <c r="I85" s="270" t="s">
        <v>505</v>
      </c>
      <c r="J85" s="30"/>
      <c r="K85" s="30"/>
      <c r="L85" s="30"/>
      <c r="M85" s="30"/>
      <c r="N85" s="30"/>
      <c r="O85" s="30"/>
      <c r="P85" s="30"/>
      <c r="Q85" s="30"/>
      <c r="R85" s="30" t="s">
        <v>423</v>
      </c>
      <c r="S85" s="30" t="s">
        <v>630</v>
      </c>
      <c r="T85" s="273" t="s">
        <v>481</v>
      </c>
      <c r="U85" s="30" t="s">
        <v>509</v>
      </c>
      <c r="V85" s="30"/>
    </row>
    <row r="86" spans="1:27" ht="16.5" customHeight="1" x14ac:dyDescent="0.3">
      <c r="A86" s="30"/>
      <c r="B86" s="30"/>
      <c r="C86" s="30"/>
      <c r="D86" s="30"/>
      <c r="E86" s="30"/>
      <c r="F86" s="30" t="s">
        <v>419</v>
      </c>
      <c r="G86" s="30" t="s">
        <v>513</v>
      </c>
      <c r="H86" s="30" t="s">
        <v>547</v>
      </c>
      <c r="I86" s="270" t="s">
        <v>505</v>
      </c>
      <c r="J86" s="30"/>
      <c r="K86" s="30"/>
      <c r="L86" s="30"/>
      <c r="M86" s="30"/>
      <c r="N86" s="30"/>
      <c r="O86" s="30"/>
      <c r="P86" s="30"/>
      <c r="Q86" s="30"/>
      <c r="R86" s="30" t="s">
        <v>424</v>
      </c>
      <c r="S86" s="30" t="s">
        <v>630</v>
      </c>
      <c r="T86" s="273" t="s">
        <v>631</v>
      </c>
      <c r="U86" s="30" t="s">
        <v>509</v>
      </c>
      <c r="V86" s="30"/>
    </row>
    <row r="87" spans="1:27" ht="16.5" customHeight="1" x14ac:dyDescent="0.3">
      <c r="A87" s="30"/>
      <c r="B87" s="30"/>
      <c r="C87" s="30"/>
      <c r="D87" s="30"/>
      <c r="E87" s="30"/>
      <c r="F87" s="30" t="s">
        <v>644</v>
      </c>
      <c r="G87" s="30" t="s">
        <v>605</v>
      </c>
      <c r="H87" s="30" t="s">
        <v>541</v>
      </c>
      <c r="I87" s="30" t="s">
        <v>487</v>
      </c>
      <c r="J87" s="30"/>
      <c r="K87" s="30"/>
      <c r="L87" s="30"/>
      <c r="M87" s="30"/>
      <c r="N87" s="30"/>
      <c r="O87" s="30"/>
      <c r="P87" s="30"/>
      <c r="Q87" s="30"/>
      <c r="R87" s="30" t="s">
        <v>425</v>
      </c>
      <c r="S87" s="30" t="s">
        <v>630</v>
      </c>
      <c r="T87" s="273" t="s">
        <v>481</v>
      </c>
      <c r="U87" s="30" t="s">
        <v>509</v>
      </c>
      <c r="V87" s="30"/>
    </row>
    <row r="88" spans="1:27" ht="16.5" customHeight="1" x14ac:dyDescent="0.3">
      <c r="A88" s="30"/>
      <c r="B88" s="30"/>
      <c r="C88" s="30"/>
      <c r="D88" s="30"/>
      <c r="E88" s="30"/>
      <c r="F88" s="30" t="s">
        <v>645</v>
      </c>
      <c r="G88" s="30" t="s">
        <v>485</v>
      </c>
      <c r="H88" s="30" t="s">
        <v>545</v>
      </c>
      <c r="I88" s="30" t="s">
        <v>487</v>
      </c>
      <c r="J88" s="30"/>
      <c r="K88" s="30"/>
      <c r="L88" s="30"/>
      <c r="M88" s="30"/>
      <c r="N88" s="30"/>
      <c r="O88" s="30"/>
      <c r="P88" s="30"/>
      <c r="Q88" s="30"/>
      <c r="R88" s="30" t="s">
        <v>426</v>
      </c>
      <c r="S88" s="30" t="s">
        <v>630</v>
      </c>
      <c r="T88" s="273" t="s">
        <v>631</v>
      </c>
      <c r="U88" s="30" t="s">
        <v>509</v>
      </c>
      <c r="V88" s="30"/>
    </row>
    <row r="89" spans="1:27" ht="16.5" customHeight="1" x14ac:dyDescent="0.3">
      <c r="A89" s="30"/>
      <c r="B89" s="30"/>
      <c r="C89" s="30"/>
      <c r="D89" s="30"/>
      <c r="E89" s="30"/>
      <c r="F89" s="30" t="s">
        <v>646</v>
      </c>
      <c r="G89" s="30" t="s">
        <v>485</v>
      </c>
      <c r="H89" s="30" t="s">
        <v>548</v>
      </c>
      <c r="I89" s="30" t="s">
        <v>487</v>
      </c>
      <c r="J89" s="30"/>
      <c r="K89" s="30"/>
      <c r="L89" s="30"/>
      <c r="M89" s="30"/>
      <c r="N89" s="30"/>
      <c r="O89" s="30"/>
      <c r="P89" s="30"/>
      <c r="Q89" s="30"/>
      <c r="R89" s="30" t="s">
        <v>427</v>
      </c>
      <c r="S89" s="30" t="s">
        <v>630</v>
      </c>
      <c r="T89" s="273" t="s">
        <v>481</v>
      </c>
      <c r="U89" s="30" t="s">
        <v>509</v>
      </c>
      <c r="V89" s="30"/>
    </row>
    <row r="90" spans="1:27" ht="16.5" customHeight="1" x14ac:dyDescent="0.3">
      <c r="A90" s="30"/>
      <c r="B90" s="30"/>
      <c r="C90" s="30"/>
      <c r="D90" s="30"/>
      <c r="E90" s="30"/>
      <c r="F90" s="30" t="s">
        <v>423</v>
      </c>
      <c r="G90" s="30" t="s">
        <v>600</v>
      </c>
      <c r="H90" s="30" t="s">
        <v>119</v>
      </c>
      <c r="I90" s="30" t="s">
        <v>487</v>
      </c>
      <c r="J90" s="30"/>
      <c r="K90" s="30"/>
      <c r="L90" s="30"/>
      <c r="M90" s="30"/>
      <c r="N90" s="30"/>
      <c r="O90" s="30"/>
      <c r="P90" s="30"/>
      <c r="Q90" s="30"/>
      <c r="R90" s="30" t="s">
        <v>428</v>
      </c>
      <c r="S90" s="30" t="s">
        <v>630</v>
      </c>
      <c r="T90" s="273" t="s">
        <v>631</v>
      </c>
      <c r="U90" s="30" t="s">
        <v>509</v>
      </c>
      <c r="V90" s="30"/>
    </row>
    <row r="91" spans="1:27" ht="16.5" customHeight="1" x14ac:dyDescent="0.3">
      <c r="A91" s="30"/>
      <c r="B91" s="30"/>
      <c r="C91" s="30"/>
      <c r="D91" s="30"/>
      <c r="E91" s="30"/>
      <c r="F91" s="30" t="s">
        <v>424</v>
      </c>
      <c r="G91" s="30" t="s">
        <v>600</v>
      </c>
      <c r="H91" s="30" t="s">
        <v>119</v>
      </c>
      <c r="I91" s="30" t="s">
        <v>487</v>
      </c>
      <c r="J91" s="30"/>
      <c r="K91" s="30"/>
      <c r="L91" s="30"/>
      <c r="M91" s="30"/>
      <c r="N91" s="30"/>
      <c r="O91" s="30"/>
      <c r="P91" s="30"/>
      <c r="Q91" s="30"/>
      <c r="R91" s="30" t="s">
        <v>429</v>
      </c>
      <c r="S91" s="30" t="s">
        <v>630</v>
      </c>
      <c r="T91" s="273" t="s">
        <v>481</v>
      </c>
      <c r="U91" s="30" t="s">
        <v>509</v>
      </c>
      <c r="V91" s="30"/>
    </row>
    <row r="92" spans="1:27" ht="16.5" customHeight="1" x14ac:dyDescent="0.3">
      <c r="A92" s="30"/>
      <c r="B92" s="30"/>
      <c r="C92" s="30"/>
      <c r="D92" s="30"/>
      <c r="E92" s="30"/>
      <c r="F92" s="30" t="s">
        <v>425</v>
      </c>
      <c r="G92" s="30" t="s">
        <v>600</v>
      </c>
      <c r="H92" s="30" t="s">
        <v>119</v>
      </c>
      <c r="I92" s="30" t="s">
        <v>487</v>
      </c>
      <c r="J92" s="30"/>
      <c r="K92" s="30"/>
      <c r="L92" s="30"/>
      <c r="M92" s="30"/>
      <c r="N92" s="30"/>
      <c r="O92" s="30"/>
      <c r="P92" s="30"/>
      <c r="Q92" s="30"/>
      <c r="R92" s="30" t="s">
        <v>430</v>
      </c>
      <c r="S92" s="30" t="s">
        <v>630</v>
      </c>
      <c r="T92" s="273" t="s">
        <v>631</v>
      </c>
      <c r="U92" s="30" t="s">
        <v>509</v>
      </c>
      <c r="V92" s="30"/>
    </row>
    <row r="93" spans="1:27" ht="16.5" customHeight="1" x14ac:dyDescent="0.3">
      <c r="A93" s="30"/>
      <c r="B93" s="30"/>
      <c r="C93" s="30"/>
      <c r="D93" s="30"/>
      <c r="E93" s="30"/>
      <c r="F93" s="30" t="s">
        <v>426</v>
      </c>
      <c r="G93" s="30" t="s">
        <v>628</v>
      </c>
      <c r="H93" s="30" t="s">
        <v>119</v>
      </c>
      <c r="I93" s="30" t="s">
        <v>487</v>
      </c>
      <c r="J93" s="30"/>
      <c r="K93" s="30"/>
      <c r="L93" s="30"/>
      <c r="M93" s="30"/>
      <c r="N93" s="30"/>
      <c r="O93" s="30"/>
      <c r="P93" s="30"/>
      <c r="Q93" s="30"/>
      <c r="R93" s="30" t="s">
        <v>431</v>
      </c>
      <c r="S93" s="30" t="s">
        <v>630</v>
      </c>
      <c r="T93" s="273" t="s">
        <v>631</v>
      </c>
      <c r="U93" s="30" t="s">
        <v>509</v>
      </c>
      <c r="V93" s="30"/>
    </row>
    <row r="94" spans="1:27" ht="16.5" customHeight="1" x14ac:dyDescent="0.3">
      <c r="A94" s="30"/>
      <c r="B94" s="30"/>
      <c r="C94" s="30"/>
      <c r="D94" s="30"/>
      <c r="E94" s="30"/>
      <c r="F94" s="30" t="s">
        <v>427</v>
      </c>
      <c r="G94" s="273" t="s">
        <v>605</v>
      </c>
      <c r="H94" s="30" t="s">
        <v>119</v>
      </c>
      <c r="I94" s="30" t="s">
        <v>487</v>
      </c>
      <c r="J94" s="30"/>
      <c r="K94" s="30"/>
      <c r="L94" s="30"/>
      <c r="M94" s="30"/>
      <c r="N94" s="30"/>
      <c r="O94" s="30"/>
      <c r="P94" s="30"/>
      <c r="Q94" s="30"/>
      <c r="R94" s="30" t="s">
        <v>432</v>
      </c>
      <c r="S94" s="278" t="s">
        <v>630</v>
      </c>
      <c r="T94" s="273" t="s">
        <v>631</v>
      </c>
      <c r="U94" s="30" t="s">
        <v>509</v>
      </c>
      <c r="V94" s="30"/>
    </row>
    <row r="95" spans="1:27" ht="16.5" customHeight="1" x14ac:dyDescent="0.3">
      <c r="A95" s="30"/>
      <c r="B95" s="30"/>
      <c r="C95" s="30"/>
      <c r="D95" s="30"/>
      <c r="E95" s="30"/>
      <c r="F95" s="30" t="s">
        <v>428</v>
      </c>
      <c r="G95" s="30" t="s">
        <v>600</v>
      </c>
      <c r="H95" s="30" t="s">
        <v>119</v>
      </c>
      <c r="I95" s="30" t="s">
        <v>487</v>
      </c>
      <c r="J95" s="30"/>
      <c r="K95" s="30"/>
      <c r="L95" s="30"/>
      <c r="M95" s="30"/>
      <c r="N95" s="30"/>
      <c r="O95" s="30"/>
      <c r="P95" s="30"/>
      <c r="Q95" s="30"/>
      <c r="R95" s="30" t="s">
        <v>647</v>
      </c>
      <c r="S95" s="30" t="s">
        <v>491</v>
      </c>
      <c r="T95" s="264" t="s">
        <v>492</v>
      </c>
      <c r="U95" s="30" t="s">
        <v>493</v>
      </c>
      <c r="V95" s="30"/>
    </row>
    <row r="96" spans="1:27" ht="16.5" customHeight="1" x14ac:dyDescent="0.3">
      <c r="A96" s="30"/>
      <c r="B96" s="30"/>
      <c r="C96" s="30"/>
      <c r="D96" s="30"/>
      <c r="E96" s="30"/>
      <c r="F96" s="30" t="s">
        <v>429</v>
      </c>
      <c r="G96" s="30" t="s">
        <v>600</v>
      </c>
      <c r="H96" s="30" t="s">
        <v>119</v>
      </c>
      <c r="I96" s="30" t="s">
        <v>487</v>
      </c>
      <c r="J96" s="30"/>
      <c r="K96" s="30"/>
      <c r="L96" s="30"/>
      <c r="M96" s="30"/>
      <c r="N96" s="30"/>
      <c r="O96" s="30"/>
      <c r="P96" s="30"/>
      <c r="Q96" s="30"/>
      <c r="R96" s="30" t="s">
        <v>648</v>
      </c>
      <c r="S96" s="30" t="s">
        <v>491</v>
      </c>
      <c r="T96" s="264" t="s">
        <v>492</v>
      </c>
      <c r="U96" s="30" t="s">
        <v>493</v>
      </c>
      <c r="V96" s="30"/>
    </row>
    <row r="97" spans="1:28" ht="16.5" customHeight="1" x14ac:dyDescent="0.3">
      <c r="A97" s="30"/>
      <c r="B97" s="30"/>
      <c r="C97" s="30"/>
      <c r="D97" s="30"/>
      <c r="E97" s="30"/>
      <c r="F97" s="30" t="s">
        <v>430</v>
      </c>
      <c r="G97" s="30" t="s">
        <v>600</v>
      </c>
      <c r="H97" s="30" t="s">
        <v>119</v>
      </c>
      <c r="I97" s="30" t="s">
        <v>487</v>
      </c>
      <c r="J97" s="30"/>
      <c r="K97" s="30"/>
      <c r="L97" s="30"/>
      <c r="M97" s="30"/>
      <c r="N97" s="30"/>
      <c r="O97" s="30"/>
      <c r="P97" s="30"/>
      <c r="Q97" s="30"/>
      <c r="R97" s="30"/>
    </row>
    <row r="98" spans="1:28" ht="16.5" customHeight="1" x14ac:dyDescent="0.3">
      <c r="A98" s="30"/>
      <c r="B98" s="30"/>
      <c r="C98" s="30"/>
      <c r="D98" s="30"/>
      <c r="E98" s="30"/>
      <c r="F98" s="30" t="s">
        <v>431</v>
      </c>
      <c r="G98" s="30" t="s">
        <v>600</v>
      </c>
      <c r="H98" s="30" t="s">
        <v>119</v>
      </c>
      <c r="I98" s="30" t="s">
        <v>487</v>
      </c>
      <c r="J98" s="30"/>
      <c r="K98" s="30"/>
      <c r="L98" s="30"/>
      <c r="M98" s="30"/>
      <c r="N98" s="30"/>
      <c r="O98" s="30"/>
      <c r="P98" s="30"/>
      <c r="Q98" s="30"/>
      <c r="R98" s="30"/>
    </row>
    <row r="99" spans="1:28" ht="16.5" customHeight="1" x14ac:dyDescent="0.3">
      <c r="A99" s="30"/>
      <c r="B99" s="30"/>
      <c r="C99" s="30"/>
      <c r="D99" s="30"/>
      <c r="E99" s="30"/>
      <c r="F99" s="30" t="s">
        <v>432</v>
      </c>
      <c r="G99" s="30" t="s">
        <v>600</v>
      </c>
      <c r="H99" s="30" t="s">
        <v>119</v>
      </c>
      <c r="I99" s="30" t="s">
        <v>487</v>
      </c>
      <c r="J99" s="30"/>
      <c r="K99" s="30"/>
      <c r="L99" s="30"/>
      <c r="M99" s="30"/>
      <c r="N99" s="30"/>
      <c r="O99" s="30"/>
      <c r="P99" s="30"/>
      <c r="Q99" s="30"/>
      <c r="R99" s="30"/>
      <c r="S99" s="30"/>
      <c r="T99" s="30"/>
      <c r="U99" s="30"/>
      <c r="V99" s="30"/>
      <c r="W99" s="257"/>
      <c r="X99" s="257"/>
      <c r="Y99" s="257"/>
      <c r="Z99" s="257"/>
      <c r="AA99" s="257"/>
      <c r="AB99" s="257"/>
    </row>
    <row r="100" spans="1:28" ht="16.5" customHeight="1" x14ac:dyDescent="0.3">
      <c r="A100" s="30"/>
      <c r="B100" s="30"/>
      <c r="C100" s="30"/>
      <c r="D100" s="30"/>
      <c r="E100" s="30"/>
      <c r="F100" s="30" t="s">
        <v>647</v>
      </c>
      <c r="G100" s="30" t="s">
        <v>485</v>
      </c>
      <c r="H100" s="30" t="s">
        <v>551</v>
      </c>
      <c r="I100" s="30" t="s">
        <v>487</v>
      </c>
      <c r="J100" s="30"/>
      <c r="K100" s="30"/>
      <c r="L100" s="30"/>
      <c r="M100" s="30"/>
      <c r="N100" s="30"/>
      <c r="O100" s="30"/>
      <c r="P100" s="30"/>
      <c r="Q100" s="30"/>
      <c r="R100" s="30"/>
      <c r="W100" s="257"/>
      <c r="X100" s="257"/>
      <c r="Y100" s="257"/>
      <c r="Z100" s="257"/>
      <c r="AA100" s="257"/>
      <c r="AB100" s="257"/>
    </row>
    <row r="101" spans="1:28" ht="16.5" customHeight="1" x14ac:dyDescent="0.3">
      <c r="A101" s="30"/>
      <c r="B101" s="30" t="s">
        <v>649</v>
      </c>
      <c r="C101" s="30"/>
      <c r="D101" s="30"/>
      <c r="E101" s="30"/>
      <c r="F101" s="282" t="s">
        <v>648</v>
      </c>
      <c r="G101" s="30" t="s">
        <v>485</v>
      </c>
      <c r="H101" s="30" t="s">
        <v>553</v>
      </c>
      <c r="I101" s="30" t="s">
        <v>487</v>
      </c>
      <c r="J101" s="30"/>
      <c r="K101" s="30"/>
      <c r="L101" s="30"/>
      <c r="M101" s="30"/>
      <c r="N101" s="30"/>
      <c r="O101" s="30"/>
      <c r="P101" s="30"/>
      <c r="Q101" s="30"/>
      <c r="R101" s="30"/>
      <c r="W101" s="257"/>
      <c r="X101" s="257"/>
      <c r="Y101" s="257"/>
      <c r="Z101" s="257"/>
      <c r="AA101" s="257"/>
      <c r="AB101" s="257"/>
    </row>
    <row r="102" spans="1:28" ht="16.5" customHeight="1" x14ac:dyDescent="0.3">
      <c r="A102" s="30"/>
      <c r="B102" s="30" t="s">
        <v>487</v>
      </c>
      <c r="C102" s="30"/>
      <c r="D102" s="30"/>
      <c r="E102" s="30"/>
      <c r="F102" s="30"/>
      <c r="G102" s="30"/>
      <c r="H102" s="30"/>
      <c r="I102" s="30"/>
      <c r="J102" s="30"/>
      <c r="K102" s="30"/>
      <c r="L102" s="30"/>
      <c r="M102" s="30"/>
      <c r="N102" s="30"/>
      <c r="O102" s="30"/>
      <c r="P102" s="30"/>
      <c r="Q102" s="30"/>
      <c r="R102" s="30"/>
      <c r="W102" s="257"/>
      <c r="X102" s="257"/>
      <c r="Y102" s="257"/>
      <c r="Z102" s="257"/>
      <c r="AA102" s="257"/>
      <c r="AB102" s="257"/>
    </row>
    <row r="103" spans="1:28" ht="16.5" customHeight="1" x14ac:dyDescent="0.3">
      <c r="A103" s="30"/>
      <c r="B103" s="30" t="s">
        <v>505</v>
      </c>
      <c r="C103" s="30"/>
      <c r="D103" s="30"/>
      <c r="E103" s="30"/>
      <c r="F103" s="30"/>
      <c r="G103" s="30"/>
      <c r="H103" s="30"/>
      <c r="I103" s="30"/>
      <c r="J103" s="30"/>
      <c r="K103" s="30"/>
      <c r="L103" s="30"/>
      <c r="M103" s="30"/>
      <c r="N103" s="30"/>
      <c r="O103" s="30"/>
      <c r="P103" s="30"/>
      <c r="Q103" s="30"/>
      <c r="R103" s="30"/>
      <c r="W103" s="257"/>
      <c r="X103" s="257"/>
      <c r="Y103" s="257"/>
      <c r="Z103" s="257"/>
      <c r="AA103" s="257"/>
      <c r="AB103" s="257"/>
    </row>
    <row r="104" spans="1:28" ht="16.5" customHeight="1" x14ac:dyDescent="0.3">
      <c r="A104" s="30"/>
      <c r="B104" s="30"/>
      <c r="C104" s="30"/>
      <c r="D104" s="30"/>
      <c r="E104" s="30"/>
      <c r="F104" s="30"/>
      <c r="G104" s="30"/>
      <c r="H104" s="30"/>
      <c r="I104" s="30"/>
      <c r="J104" s="30"/>
      <c r="K104" s="30"/>
      <c r="L104" s="30"/>
      <c r="M104" s="30"/>
      <c r="N104" s="30"/>
      <c r="O104" s="30"/>
      <c r="P104" s="30"/>
      <c r="Q104" s="30"/>
      <c r="R104" s="30"/>
      <c r="W104" s="257"/>
      <c r="X104" s="257"/>
      <c r="Y104" s="257"/>
      <c r="Z104" s="257"/>
      <c r="AA104" s="257"/>
      <c r="AB104" s="257"/>
    </row>
    <row r="105" spans="1:28" ht="16.5" customHeight="1" x14ac:dyDescent="0.3">
      <c r="F105" s="30"/>
      <c r="G105" s="30"/>
      <c r="H105" s="30"/>
      <c r="R105" s="30"/>
      <c r="W105" s="257"/>
      <c r="X105" s="257"/>
      <c r="Y105" s="257"/>
      <c r="Z105" s="257"/>
      <c r="AA105" s="257"/>
      <c r="AB105" s="257"/>
    </row>
    <row r="106" spans="1:28" ht="14.25" customHeight="1" x14ac:dyDescent="0.3">
      <c r="F106" s="30"/>
      <c r="G106" s="30"/>
      <c r="H106" s="30"/>
      <c r="W106" s="257"/>
      <c r="X106" s="257"/>
      <c r="Y106" s="257"/>
      <c r="Z106" s="257"/>
      <c r="AA106" s="257"/>
      <c r="AB106" s="257"/>
    </row>
    <row r="107" spans="1:28" ht="14.25" customHeight="1" x14ac:dyDescent="0.3">
      <c r="F107" s="30"/>
      <c r="G107" s="30"/>
      <c r="H107" s="30"/>
      <c r="W107" s="257"/>
      <c r="X107" s="257"/>
      <c r="Y107" s="257"/>
      <c r="Z107" s="257"/>
      <c r="AA107" s="257"/>
      <c r="AB107" s="257"/>
    </row>
    <row r="108" spans="1:28" ht="14.25" customHeight="1" x14ac:dyDescent="0.3">
      <c r="F108" s="30"/>
      <c r="G108" s="30"/>
      <c r="H108" s="30"/>
      <c r="W108" s="257"/>
      <c r="X108" s="257"/>
      <c r="Y108" s="257"/>
      <c r="Z108" s="257"/>
      <c r="AA108" s="257"/>
      <c r="AB108" s="257"/>
    </row>
    <row r="109" spans="1:28" ht="14.25" customHeight="1" x14ac:dyDescent="0.3">
      <c r="F109" s="30"/>
      <c r="G109" s="30"/>
      <c r="H109" s="30"/>
      <c r="W109" s="257"/>
      <c r="X109" s="257"/>
      <c r="Y109" s="257"/>
      <c r="Z109" s="257"/>
      <c r="AA109" s="257"/>
      <c r="AB109" s="257"/>
    </row>
    <row r="110" spans="1:28" ht="14.25" customHeight="1" x14ac:dyDescent="0.3">
      <c r="F110" s="30"/>
      <c r="G110" s="30"/>
      <c r="H110" s="30"/>
      <c r="W110" s="257"/>
      <c r="X110" s="257"/>
      <c r="Y110" s="257"/>
      <c r="Z110" s="257"/>
      <c r="AA110" s="257"/>
      <c r="AB110" s="257"/>
    </row>
    <row r="111" spans="1:28" ht="14.25" customHeight="1" x14ac:dyDescent="0.3">
      <c r="F111" s="30"/>
      <c r="G111" s="30"/>
      <c r="H111" s="30"/>
      <c r="W111" s="257"/>
      <c r="X111" s="257"/>
      <c r="Y111" s="257"/>
      <c r="Z111" s="257"/>
      <c r="AA111" s="257"/>
      <c r="AB111" s="257"/>
    </row>
    <row r="112" spans="1:28" ht="14.25" customHeight="1" x14ac:dyDescent="0.3">
      <c r="F112" s="30"/>
      <c r="G112" s="30"/>
      <c r="H112" s="30"/>
      <c r="W112" s="257"/>
      <c r="X112" s="257"/>
      <c r="Y112" s="257"/>
      <c r="Z112" s="257"/>
      <c r="AA112" s="257"/>
      <c r="AB112" s="257"/>
    </row>
    <row r="113" spans="6:28" ht="14.25" customHeight="1" x14ac:dyDescent="0.3">
      <c r="F113" s="30"/>
      <c r="G113" s="30"/>
      <c r="H113" s="30"/>
      <c r="W113" s="257"/>
      <c r="X113" s="257"/>
      <c r="Y113" s="257"/>
      <c r="Z113" s="257"/>
      <c r="AA113" s="257"/>
      <c r="AB113" s="257"/>
    </row>
    <row r="114" spans="6:28" ht="14.25" customHeight="1" x14ac:dyDescent="0.3">
      <c r="F114" s="30"/>
      <c r="G114" s="30"/>
      <c r="H114" s="30"/>
      <c r="W114" s="257"/>
      <c r="X114" s="257"/>
      <c r="Y114" s="257"/>
      <c r="Z114" s="257"/>
      <c r="AA114" s="257"/>
      <c r="AB114" s="257"/>
    </row>
    <row r="115" spans="6:28" ht="14.25" customHeight="1" x14ac:dyDescent="0.3">
      <c r="F115" s="30"/>
      <c r="G115" s="30"/>
      <c r="H115" s="30"/>
    </row>
    <row r="116" spans="6:28" ht="14.25" customHeight="1" x14ac:dyDescent="0.3">
      <c r="F116" s="30"/>
      <c r="G116" s="30"/>
      <c r="H116" s="30"/>
    </row>
    <row r="117" spans="6:28" ht="14.25" customHeight="1" x14ac:dyDescent="0.3">
      <c r="F117" s="30"/>
      <c r="G117" s="30"/>
      <c r="H117" s="30"/>
    </row>
    <row r="118" spans="6:28" ht="14.25" customHeight="1" x14ac:dyDescent="0.3">
      <c r="F118" s="30"/>
      <c r="G118" s="30"/>
      <c r="H118" s="30"/>
    </row>
    <row r="119" spans="6:28" ht="14.25" customHeight="1" x14ac:dyDescent="0.3">
      <c r="F119" s="30"/>
      <c r="G119" s="30"/>
      <c r="H119" s="30"/>
    </row>
    <row r="120" spans="6:28" ht="14.25" customHeight="1" x14ac:dyDescent="0.3">
      <c r="F120" s="30"/>
      <c r="G120" s="30"/>
      <c r="H120" s="30"/>
    </row>
    <row r="121" spans="6:28" ht="14.25" customHeight="1" x14ac:dyDescent="0.3">
      <c r="F121" s="30"/>
      <c r="G121" s="30"/>
      <c r="H121" s="30"/>
    </row>
    <row r="122" spans="6:28" ht="14.25" customHeight="1" x14ac:dyDescent="0.3">
      <c r="F122" s="30"/>
      <c r="G122" s="30"/>
      <c r="H122" s="30"/>
    </row>
    <row r="123" spans="6:28" ht="14.25" customHeight="1" x14ac:dyDescent="0.3">
      <c r="F123" s="30"/>
      <c r="G123" s="30"/>
      <c r="H123" s="30"/>
    </row>
    <row r="124" spans="6:28" ht="14.25" customHeight="1" x14ac:dyDescent="0.3">
      <c r="F124" s="30"/>
      <c r="G124" s="30"/>
      <c r="H124" s="30"/>
    </row>
    <row r="125" spans="6:28" ht="14.25" customHeight="1" x14ac:dyDescent="0.3">
      <c r="F125" s="30"/>
      <c r="G125" s="30"/>
      <c r="H125" s="30"/>
    </row>
    <row r="126" spans="6:28" ht="14.25" customHeight="1" x14ac:dyDescent="0.3">
      <c r="F126" s="30"/>
      <c r="G126" s="30"/>
      <c r="H126" s="30"/>
    </row>
    <row r="127" spans="6:28" ht="14.25" customHeight="1" x14ac:dyDescent="0.3">
      <c r="F127" s="30"/>
      <c r="G127" s="30"/>
      <c r="H127" s="30"/>
    </row>
    <row r="128" spans="6:28" ht="14.25" customHeight="1" x14ac:dyDescent="0.3">
      <c r="F128" s="30"/>
      <c r="G128" s="30"/>
      <c r="H128" s="30"/>
    </row>
    <row r="129" spans="6:8" ht="14.25" customHeight="1" x14ac:dyDescent="0.3">
      <c r="F129" s="30"/>
      <c r="G129" s="30"/>
      <c r="H129" s="30"/>
    </row>
    <row r="130" spans="6:8" ht="14.25" customHeight="1" x14ac:dyDescent="0.3">
      <c r="F130" s="30"/>
      <c r="G130" s="30"/>
      <c r="H130" s="30"/>
    </row>
    <row r="131" spans="6:8" ht="14.25" customHeight="1" x14ac:dyDescent="0.3">
      <c r="F131" s="30"/>
      <c r="G131" s="30"/>
      <c r="H131" s="30"/>
    </row>
    <row r="132" spans="6:8" ht="14.25" customHeight="1" x14ac:dyDescent="0.3">
      <c r="F132" s="30"/>
      <c r="G132" s="30"/>
      <c r="H132" s="30"/>
    </row>
    <row r="133" spans="6:8" ht="14.25" customHeight="1" x14ac:dyDescent="0.3">
      <c r="F133" s="30"/>
      <c r="G133" s="30"/>
      <c r="H133" s="30"/>
    </row>
    <row r="134" spans="6:8" ht="14.25" customHeight="1" x14ac:dyDescent="0.3">
      <c r="F134" s="30"/>
      <c r="G134" s="30"/>
      <c r="H134" s="30"/>
    </row>
    <row r="135" spans="6:8" ht="14.25" customHeight="1" x14ac:dyDescent="0.3">
      <c r="F135" s="30"/>
      <c r="G135" s="30"/>
      <c r="H135" s="30"/>
    </row>
    <row r="136" spans="6:8" ht="14.25" customHeight="1" x14ac:dyDescent="0.3">
      <c r="F136" s="30"/>
      <c r="G136" s="30"/>
      <c r="H136" s="30"/>
    </row>
    <row r="137" spans="6:8" ht="14.25" customHeight="1" x14ac:dyDescent="0.3">
      <c r="F137" s="30"/>
      <c r="G137" s="30"/>
      <c r="H137" s="30"/>
    </row>
    <row r="138" spans="6:8" ht="14.25" customHeight="1" x14ac:dyDescent="0.3">
      <c r="F138" s="30"/>
      <c r="G138" s="30"/>
      <c r="H138" s="30"/>
    </row>
    <row r="139" spans="6:8" ht="14.25" customHeight="1" x14ac:dyDescent="0.3">
      <c r="F139" s="30"/>
      <c r="G139" s="30"/>
      <c r="H139" s="30"/>
    </row>
    <row r="140" spans="6:8" ht="14.25" customHeight="1" x14ac:dyDescent="0.3">
      <c r="F140" s="30"/>
      <c r="G140" s="30"/>
      <c r="H140" s="30"/>
    </row>
    <row r="141" spans="6:8" ht="14.25" customHeight="1" x14ac:dyDescent="0.3">
      <c r="F141" s="30"/>
      <c r="G141" s="30"/>
      <c r="H141" s="30"/>
    </row>
    <row r="142" spans="6:8" ht="14.25" customHeight="1" x14ac:dyDescent="0.3">
      <c r="F142" s="30"/>
      <c r="G142" s="30"/>
      <c r="H142" s="30"/>
    </row>
    <row r="143" spans="6:8" ht="14.25" customHeight="1" x14ac:dyDescent="0.3">
      <c r="F143" s="30"/>
      <c r="G143" s="30"/>
      <c r="H143" s="30"/>
    </row>
    <row r="144" spans="6:8" ht="14.25" customHeight="1" x14ac:dyDescent="0.3">
      <c r="F144" s="30"/>
      <c r="G144" s="30"/>
      <c r="H144" s="30"/>
    </row>
    <row r="145" spans="6:8" ht="14.25" customHeight="1" x14ac:dyDescent="0.3">
      <c r="F145" s="30"/>
      <c r="G145" s="30"/>
      <c r="H145" s="30"/>
    </row>
    <row r="146" spans="6:8" ht="14.25" customHeight="1" x14ac:dyDescent="0.3">
      <c r="F146" s="30"/>
      <c r="G146" s="30"/>
      <c r="H146" s="30"/>
    </row>
    <row r="147" spans="6:8" ht="14.25" customHeight="1" x14ac:dyDescent="0.3">
      <c r="F147" s="30"/>
      <c r="G147" s="30"/>
      <c r="H147" s="30"/>
    </row>
    <row r="148" spans="6:8" ht="14.25" customHeight="1" x14ac:dyDescent="0.3">
      <c r="F148" s="30"/>
      <c r="G148" s="30"/>
      <c r="H148" s="30"/>
    </row>
    <row r="149" spans="6:8" ht="14.25" customHeight="1" x14ac:dyDescent="0.3">
      <c r="F149" s="30"/>
      <c r="G149" s="30"/>
      <c r="H149" s="30"/>
    </row>
    <row r="150" spans="6:8" ht="14.25" customHeight="1" x14ac:dyDescent="0.3">
      <c r="F150" s="30"/>
      <c r="G150" s="30"/>
      <c r="H150" s="30"/>
    </row>
    <row r="151" spans="6:8" ht="14.25" customHeight="1" x14ac:dyDescent="0.3">
      <c r="F151" s="30"/>
      <c r="G151" s="30"/>
      <c r="H151" s="30"/>
    </row>
    <row r="152" spans="6:8" ht="14.25" customHeight="1" x14ac:dyDescent="0.3">
      <c r="F152" s="30"/>
      <c r="G152" s="30"/>
      <c r="H152" s="30"/>
    </row>
    <row r="153" spans="6:8" ht="14.25" customHeight="1" x14ac:dyDescent="0.3">
      <c r="F153" s="30"/>
      <c r="G153" s="30"/>
      <c r="H153" s="30"/>
    </row>
    <row r="154" spans="6:8" ht="14.25" customHeight="1" x14ac:dyDescent="0.3">
      <c r="F154" s="30"/>
      <c r="G154" s="30"/>
      <c r="H154" s="30"/>
    </row>
    <row r="155" spans="6:8" ht="14.25" customHeight="1" x14ac:dyDescent="0.3">
      <c r="F155" s="30"/>
      <c r="G155" s="30"/>
      <c r="H155" s="30"/>
    </row>
    <row r="156" spans="6:8" ht="14.25" customHeight="1" x14ac:dyDescent="0.3">
      <c r="F156" s="30"/>
      <c r="G156" s="30"/>
      <c r="H156" s="30"/>
    </row>
    <row r="157" spans="6:8" ht="14.25" customHeight="1" x14ac:dyDescent="0.3">
      <c r="F157" s="30"/>
      <c r="G157" s="30"/>
      <c r="H157" s="30"/>
    </row>
    <row r="158" spans="6:8" ht="14.25" customHeight="1" x14ac:dyDescent="0.3">
      <c r="F158" s="30"/>
      <c r="G158" s="30"/>
      <c r="H158" s="30"/>
    </row>
    <row r="159" spans="6:8" ht="14.25" customHeight="1" x14ac:dyDescent="0.3">
      <c r="F159" s="30"/>
      <c r="G159" s="30"/>
      <c r="H159" s="30"/>
    </row>
    <row r="160" spans="6:8" ht="14.25" customHeight="1" x14ac:dyDescent="0.3">
      <c r="F160" s="30"/>
      <c r="G160" s="30"/>
      <c r="H160" s="30"/>
    </row>
    <row r="161" spans="6:8" ht="14.25" customHeight="1" x14ac:dyDescent="0.3">
      <c r="F161" s="30"/>
      <c r="G161" s="30"/>
      <c r="H161" s="30"/>
    </row>
    <row r="162" spans="6:8" ht="14.25" customHeight="1" x14ac:dyDescent="0.3">
      <c r="F162" s="30"/>
      <c r="G162" s="30"/>
      <c r="H162" s="30"/>
    </row>
    <row r="163" spans="6:8" ht="14.25" customHeight="1" x14ac:dyDescent="0.3">
      <c r="F163" s="30"/>
      <c r="G163" s="30"/>
      <c r="H163" s="30"/>
    </row>
    <row r="164" spans="6:8" ht="14.25" customHeight="1" x14ac:dyDescent="0.3">
      <c r="F164" s="30"/>
      <c r="G164" s="30"/>
      <c r="H164" s="30"/>
    </row>
    <row r="165" spans="6:8" ht="14.25" customHeight="1" x14ac:dyDescent="0.3">
      <c r="F165" s="30"/>
      <c r="G165" s="30"/>
      <c r="H165" s="30"/>
    </row>
    <row r="166" spans="6:8" ht="14.25" customHeight="1" x14ac:dyDescent="0.3">
      <c r="F166" s="30"/>
      <c r="G166" s="30"/>
      <c r="H166" s="30"/>
    </row>
    <row r="167" spans="6:8" ht="14.25" customHeight="1" x14ac:dyDescent="0.3">
      <c r="F167" s="30"/>
      <c r="G167" s="30"/>
      <c r="H167" s="30"/>
    </row>
    <row r="168" spans="6:8" ht="14.25" customHeight="1" x14ac:dyDescent="0.3">
      <c r="F168" s="30"/>
      <c r="G168" s="30"/>
      <c r="H168" s="30"/>
    </row>
    <row r="169" spans="6:8" ht="14.25" customHeight="1" x14ac:dyDescent="0.3">
      <c r="F169" s="30"/>
      <c r="G169" s="30"/>
      <c r="H169" s="30"/>
    </row>
    <row r="170" spans="6:8" ht="14.25" customHeight="1" x14ac:dyDescent="0.3">
      <c r="F170" s="30"/>
      <c r="G170" s="30"/>
      <c r="H170" s="30"/>
    </row>
  </sheetData>
  <mergeCells count="3">
    <mergeCell ref="L2:L3"/>
    <mergeCell ref="M2:N2"/>
    <mergeCell ref="M7:N7"/>
  </mergeCells>
  <dataValidations disablePrompts="1" count="1">
    <dataValidation type="list" allowBlank="1" showInputMessage="1" showErrorMessage="1" sqref="Z29">
      <formula1>$AG$8:$AG$12</formula1>
    </dataValidation>
  </dataValidations>
  <pageMargins left="0.7" right="0.7" top="0.75" bottom="0.75" header="0.3" footer="0.3"/>
  <tableParts count="3">
    <tablePart r:id="rId1"/>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4"/>
  <sheetViews>
    <sheetView topLeftCell="D1" workbookViewId="0">
      <selection activeCell="H6" sqref="H6"/>
    </sheetView>
  </sheetViews>
  <sheetFormatPr baseColWidth="10" defaultColWidth="11.44140625" defaultRowHeight="14.4" x14ac:dyDescent="0.3"/>
  <cols>
    <col min="1" max="2" width="31.5546875" customWidth="1"/>
    <col min="3" max="3" width="30.6640625" customWidth="1"/>
    <col min="4" max="4" width="32.33203125" style="410" customWidth="1"/>
    <col min="5" max="5" width="5.88671875" customWidth="1"/>
    <col min="6" max="6" width="31.109375" customWidth="1"/>
    <col min="7" max="7" width="37.44140625" customWidth="1"/>
    <col min="8" max="8" width="40.33203125" customWidth="1"/>
    <col min="9" max="9" width="26.88671875" customWidth="1"/>
    <col min="10" max="10" width="20" customWidth="1"/>
    <col min="11" max="11" width="18.44140625" customWidth="1"/>
  </cols>
  <sheetData>
    <row r="2" spans="1:9" ht="28.8" x14ac:dyDescent="0.3">
      <c r="A2" s="921" t="s">
        <v>1602</v>
      </c>
      <c r="B2" s="922" t="s">
        <v>1603</v>
      </c>
      <c r="C2" s="922" t="s">
        <v>1604</v>
      </c>
      <c r="D2" s="922" t="s">
        <v>1605</v>
      </c>
      <c r="F2" s="923" t="s">
        <v>1602</v>
      </c>
      <c r="G2" s="922" t="s">
        <v>1605</v>
      </c>
      <c r="H2" s="922" t="s">
        <v>1606</v>
      </c>
      <c r="I2" s="922" t="s">
        <v>1607</v>
      </c>
    </row>
    <row r="3" spans="1:9" x14ac:dyDescent="0.3">
      <c r="A3" s="924" t="str">
        <f>+CONCATENATE(B3,C3)</f>
        <v>No RazonableFavorable</v>
      </c>
      <c r="B3" s="925" t="s">
        <v>1608</v>
      </c>
      <c r="C3" s="931" t="s">
        <v>1619</v>
      </c>
      <c r="D3" s="925" t="s">
        <v>1608</v>
      </c>
      <c r="F3" s="927" t="str">
        <f>+CONCATENATE(G3,H3)</f>
        <v>No RazonableNegativa</v>
      </c>
      <c r="G3" s="925" t="s">
        <v>1608</v>
      </c>
      <c r="H3" s="925" t="s">
        <v>538</v>
      </c>
      <c r="I3" s="925" t="s">
        <v>1609</v>
      </c>
    </row>
    <row r="4" spans="1:9" x14ac:dyDescent="0.3">
      <c r="A4" s="924" t="str">
        <f t="shared" ref="A4:A22" si="0">+CONCATENATE(B4,C4)</f>
        <v>No RazonableCon Observaciones</v>
      </c>
      <c r="B4" s="925" t="s">
        <v>1608</v>
      </c>
      <c r="C4" s="928" t="s">
        <v>1620</v>
      </c>
      <c r="D4" s="925" t="s">
        <v>1608</v>
      </c>
      <c r="F4" s="927" t="str">
        <f t="shared" ref="F4:F18" si="1">+CONCATENATE(G4,H4)</f>
        <v>No RazonableAbstención</v>
      </c>
      <c r="G4" s="925" t="s">
        <v>1608</v>
      </c>
      <c r="H4" s="925" t="s">
        <v>544</v>
      </c>
      <c r="I4" s="925" t="s">
        <v>1609</v>
      </c>
    </row>
    <row r="5" spans="1:9" x14ac:dyDescent="0.3">
      <c r="A5" s="924" t="str">
        <f t="shared" si="0"/>
        <v>No RazonableDesfavorable</v>
      </c>
      <c r="B5" s="925" t="s">
        <v>1608</v>
      </c>
      <c r="C5" s="925" t="s">
        <v>1621</v>
      </c>
      <c r="D5" s="925" t="s">
        <v>1608</v>
      </c>
      <c r="F5" s="927" t="str">
        <f t="shared" si="1"/>
        <v>No RazonableCon Salvedades</v>
      </c>
      <c r="G5" s="925" t="s">
        <v>1608</v>
      </c>
      <c r="H5" s="928" t="s">
        <v>534</v>
      </c>
      <c r="I5" s="925" t="s">
        <v>1609</v>
      </c>
    </row>
    <row r="6" spans="1:9" ht="15" x14ac:dyDescent="0.3">
      <c r="A6" s="924" t="str">
        <f t="shared" si="0"/>
        <v>No RazonableNo Aplica</v>
      </c>
      <c r="B6" s="925" t="s">
        <v>1608</v>
      </c>
      <c r="C6" s="929" t="s">
        <v>1449</v>
      </c>
      <c r="D6" s="925" t="s">
        <v>1608</v>
      </c>
      <c r="F6" s="927" t="str">
        <f t="shared" si="1"/>
        <v>No RazonableLimpia o Sin Salvedades</v>
      </c>
      <c r="G6" s="925" t="s">
        <v>1608</v>
      </c>
      <c r="H6" s="926" t="s">
        <v>529</v>
      </c>
      <c r="I6" s="925" t="s">
        <v>1609</v>
      </c>
    </row>
    <row r="7" spans="1:9" x14ac:dyDescent="0.3">
      <c r="A7" s="924" t="str">
        <f t="shared" si="0"/>
        <v>AbstenciónFavorable</v>
      </c>
      <c r="B7" s="925" t="s">
        <v>544</v>
      </c>
      <c r="C7" s="931" t="s">
        <v>1619</v>
      </c>
      <c r="D7" s="925" t="s">
        <v>544</v>
      </c>
      <c r="F7" s="927" t="str">
        <f t="shared" si="1"/>
        <v>AbstenciónNegativa</v>
      </c>
      <c r="G7" s="925" t="s">
        <v>544</v>
      </c>
      <c r="H7" s="925" t="s">
        <v>538</v>
      </c>
      <c r="I7" s="925" t="s">
        <v>1609</v>
      </c>
    </row>
    <row r="8" spans="1:9" x14ac:dyDescent="0.3">
      <c r="A8" s="924" t="str">
        <f t="shared" si="0"/>
        <v>AbstenciónCon Observaciones</v>
      </c>
      <c r="B8" s="925" t="s">
        <v>544</v>
      </c>
      <c r="C8" s="928" t="s">
        <v>1620</v>
      </c>
      <c r="D8" s="925" t="s">
        <v>544</v>
      </c>
      <c r="F8" s="927" t="str">
        <f t="shared" si="1"/>
        <v>AbstenciónAbstención</v>
      </c>
      <c r="G8" s="925" t="s">
        <v>544</v>
      </c>
      <c r="H8" s="925" t="s">
        <v>544</v>
      </c>
      <c r="I8" s="925" t="s">
        <v>1609</v>
      </c>
    </row>
    <row r="9" spans="1:9" x14ac:dyDescent="0.3">
      <c r="A9" s="924" t="str">
        <f t="shared" si="0"/>
        <v>AbstenciónDesfavorable</v>
      </c>
      <c r="B9" s="925" t="s">
        <v>544</v>
      </c>
      <c r="C9" s="925" t="s">
        <v>1621</v>
      </c>
      <c r="D9" s="925" t="s">
        <v>544</v>
      </c>
      <c r="F9" s="927" t="str">
        <f t="shared" si="1"/>
        <v>AbstenciónCon Salvedades</v>
      </c>
      <c r="G9" s="925" t="s">
        <v>544</v>
      </c>
      <c r="H9" s="928" t="s">
        <v>534</v>
      </c>
      <c r="I9" s="925" t="s">
        <v>1609</v>
      </c>
    </row>
    <row r="10" spans="1:9" ht="15" x14ac:dyDescent="0.3">
      <c r="A10" s="924" t="str">
        <f t="shared" si="0"/>
        <v>AbstenciónNo Aplica</v>
      </c>
      <c r="B10" s="925" t="s">
        <v>544</v>
      </c>
      <c r="C10" s="929" t="s">
        <v>1449</v>
      </c>
      <c r="D10" s="925" t="s">
        <v>544</v>
      </c>
      <c r="F10" s="927" t="str">
        <f t="shared" si="1"/>
        <v>AbstenciónLimpia o Sin Salvedades</v>
      </c>
      <c r="G10" s="925" t="s">
        <v>544</v>
      </c>
      <c r="H10" s="926" t="s">
        <v>529</v>
      </c>
      <c r="I10" s="925" t="s">
        <v>1609</v>
      </c>
    </row>
    <row r="11" spans="1:9" x14ac:dyDescent="0.3">
      <c r="A11" s="924" t="str">
        <f t="shared" si="0"/>
        <v>Con SalvedadesFavorable</v>
      </c>
      <c r="B11" s="928" t="s">
        <v>534</v>
      </c>
      <c r="C11" s="931" t="s">
        <v>1619</v>
      </c>
      <c r="D11" s="928" t="s">
        <v>534</v>
      </c>
      <c r="F11" s="927" t="str">
        <f t="shared" si="1"/>
        <v>Con SalvedadesNegativa</v>
      </c>
      <c r="G11" s="928" t="s">
        <v>534</v>
      </c>
      <c r="H11" s="925" t="s">
        <v>538</v>
      </c>
      <c r="I11" s="925" t="s">
        <v>1609</v>
      </c>
    </row>
    <row r="12" spans="1:9" x14ac:dyDescent="0.3">
      <c r="A12" s="924" t="str">
        <f t="shared" si="0"/>
        <v>Con SalvedadesCon Observaciones</v>
      </c>
      <c r="B12" s="928" t="s">
        <v>534</v>
      </c>
      <c r="C12" s="928" t="s">
        <v>1620</v>
      </c>
      <c r="D12" s="928" t="s">
        <v>534</v>
      </c>
      <c r="F12" s="927" t="str">
        <f t="shared" si="1"/>
        <v>Con SalvedadesAbstención</v>
      </c>
      <c r="G12" s="928" t="s">
        <v>534</v>
      </c>
      <c r="H12" s="925" t="s">
        <v>544</v>
      </c>
      <c r="I12" s="925" t="s">
        <v>1609</v>
      </c>
    </row>
    <row r="13" spans="1:9" ht="15" x14ac:dyDescent="0.3">
      <c r="A13" s="924" t="str">
        <f t="shared" si="0"/>
        <v>Con SalvedadesDesfavorable</v>
      </c>
      <c r="B13" s="928" t="s">
        <v>534</v>
      </c>
      <c r="C13" s="925" t="s">
        <v>1621</v>
      </c>
      <c r="D13" s="925" t="s">
        <v>1610</v>
      </c>
      <c r="F13" s="927" t="str">
        <f t="shared" si="1"/>
        <v>Con SalvedadesCon Salvedades</v>
      </c>
      <c r="G13" s="928" t="s">
        <v>534</v>
      </c>
      <c r="H13" s="928" t="s">
        <v>534</v>
      </c>
      <c r="I13" s="930" t="s">
        <v>1611</v>
      </c>
    </row>
    <row r="14" spans="1:9" ht="15" x14ac:dyDescent="0.3">
      <c r="A14" s="924" t="str">
        <f t="shared" si="0"/>
        <v>Con SalvedadesNo Aplica</v>
      </c>
      <c r="B14" s="928" t="s">
        <v>534</v>
      </c>
      <c r="C14" s="929" t="s">
        <v>1449</v>
      </c>
      <c r="D14" s="928" t="s">
        <v>534</v>
      </c>
      <c r="F14" s="927" t="str">
        <f t="shared" si="1"/>
        <v>Con SalvedadesLimpia o Sin Salvedades</v>
      </c>
      <c r="G14" s="928" t="s">
        <v>534</v>
      </c>
      <c r="H14" s="926" t="s">
        <v>529</v>
      </c>
      <c r="I14" s="930" t="s">
        <v>1611</v>
      </c>
    </row>
    <row r="15" spans="1:9" ht="15" x14ac:dyDescent="0.3">
      <c r="A15" s="924" t="str">
        <f t="shared" si="0"/>
        <v>RazonableFavorable</v>
      </c>
      <c r="B15" s="931" t="s">
        <v>868</v>
      </c>
      <c r="C15" s="931" t="s">
        <v>1619</v>
      </c>
      <c r="D15" s="931" t="s">
        <v>868</v>
      </c>
      <c r="F15" s="927" t="str">
        <f t="shared" si="1"/>
        <v>RazonableNegativa</v>
      </c>
      <c r="G15" s="926" t="s">
        <v>868</v>
      </c>
      <c r="H15" s="925" t="s">
        <v>538</v>
      </c>
      <c r="I15" s="925" t="s">
        <v>1609</v>
      </c>
    </row>
    <row r="16" spans="1:9" ht="15" x14ac:dyDescent="0.3">
      <c r="A16" s="924" t="str">
        <f t="shared" si="0"/>
        <v>RazonableCon Observaciones</v>
      </c>
      <c r="B16" s="931" t="s">
        <v>868</v>
      </c>
      <c r="C16" s="928" t="s">
        <v>1620</v>
      </c>
      <c r="D16" s="931" t="s">
        <v>868</v>
      </c>
      <c r="F16" s="927" t="str">
        <f t="shared" si="1"/>
        <v>RazonableAbstención</v>
      </c>
      <c r="G16" s="926" t="s">
        <v>868</v>
      </c>
      <c r="H16" s="925" t="s">
        <v>544</v>
      </c>
      <c r="I16" s="925" t="s">
        <v>1609</v>
      </c>
    </row>
    <row r="17" spans="1:9" ht="15" x14ac:dyDescent="0.3">
      <c r="A17" s="924" t="str">
        <f t="shared" si="0"/>
        <v>RazonableDesfavorable</v>
      </c>
      <c r="B17" s="931" t="s">
        <v>868</v>
      </c>
      <c r="C17" s="925" t="s">
        <v>1621</v>
      </c>
      <c r="D17" s="925" t="s">
        <v>1608</v>
      </c>
      <c r="F17" s="927" t="str">
        <f t="shared" si="1"/>
        <v>RazonableCon Salvedades</v>
      </c>
      <c r="G17" s="926" t="s">
        <v>868</v>
      </c>
      <c r="H17" s="928" t="s">
        <v>534</v>
      </c>
      <c r="I17" s="930" t="s">
        <v>1611</v>
      </c>
    </row>
    <row r="18" spans="1:9" ht="15" customHeight="1" x14ac:dyDescent="0.3">
      <c r="A18" s="924" t="str">
        <f t="shared" si="0"/>
        <v>RazonableNo Aplica</v>
      </c>
      <c r="B18" s="931" t="s">
        <v>868</v>
      </c>
      <c r="C18" s="929" t="s">
        <v>1449</v>
      </c>
      <c r="D18" s="931" t="s">
        <v>868</v>
      </c>
      <c r="F18" s="927" t="str">
        <f t="shared" si="1"/>
        <v>RazonableLimpia o Sin Salvedades</v>
      </c>
      <c r="G18" s="926" t="s">
        <v>868</v>
      </c>
      <c r="H18" s="926" t="s">
        <v>529</v>
      </c>
      <c r="I18" s="930" t="s">
        <v>1611</v>
      </c>
    </row>
    <row r="19" spans="1:9" x14ac:dyDescent="0.3">
      <c r="A19" s="924" t="str">
        <f t="shared" si="0"/>
        <v>No AplicaFavorable</v>
      </c>
      <c r="B19" s="929" t="s">
        <v>1449</v>
      </c>
      <c r="C19" s="931" t="s">
        <v>1619</v>
      </c>
      <c r="D19" s="931" t="s">
        <v>868</v>
      </c>
    </row>
    <row r="20" spans="1:9" x14ac:dyDescent="0.3">
      <c r="A20" s="924" t="str">
        <f t="shared" si="0"/>
        <v>No AplicaCon Observaciones</v>
      </c>
      <c r="B20" s="929" t="s">
        <v>1449</v>
      </c>
      <c r="C20" s="928" t="s">
        <v>1620</v>
      </c>
      <c r="D20" s="928" t="s">
        <v>534</v>
      </c>
    </row>
    <row r="21" spans="1:9" x14ac:dyDescent="0.3">
      <c r="A21" s="924" t="str">
        <f t="shared" si="0"/>
        <v>No AplicaDesfavorable</v>
      </c>
      <c r="B21" s="929" t="s">
        <v>1449</v>
      </c>
      <c r="C21" s="925" t="s">
        <v>1621</v>
      </c>
      <c r="D21" s="925" t="s">
        <v>1608</v>
      </c>
    </row>
    <row r="22" spans="1:9" x14ac:dyDescent="0.3">
      <c r="A22" s="924" t="str">
        <f t="shared" si="0"/>
        <v>No AplicaNo Aplica</v>
      </c>
      <c r="B22" s="929" t="s">
        <v>1449</v>
      </c>
      <c r="C22" s="929" t="s">
        <v>1449</v>
      </c>
      <c r="D22" s="929" t="s">
        <v>1449</v>
      </c>
    </row>
    <row r="26" spans="1:9" ht="28.8" x14ac:dyDescent="0.3">
      <c r="A26" s="921" t="s">
        <v>1602</v>
      </c>
      <c r="B26" s="922" t="s">
        <v>1613</v>
      </c>
      <c r="C26" s="922" t="s">
        <v>1614</v>
      </c>
      <c r="D26" s="922" t="s">
        <v>1606</v>
      </c>
      <c r="F26" s="921" t="s">
        <v>1602</v>
      </c>
      <c r="G26" s="921" t="s">
        <v>1622</v>
      </c>
      <c r="H26" s="921" t="s">
        <v>1623</v>
      </c>
      <c r="I26" s="921" t="s">
        <v>1624</v>
      </c>
    </row>
    <row r="27" spans="1:9" ht="15" x14ac:dyDescent="0.3">
      <c r="A27" s="924" t="str">
        <f t="shared" ref="A27:A38" si="2">+CONCATENATE(B27,C27)</f>
        <v>NegativaEfectivo</v>
      </c>
      <c r="B27" s="925" t="s">
        <v>538</v>
      </c>
      <c r="C27" s="926" t="s">
        <v>146</v>
      </c>
      <c r="D27" s="925" t="s">
        <v>538</v>
      </c>
      <c r="F27" s="924" t="str">
        <f>+CONCATENATE(G27,H27)</f>
        <v>DesfavorableFavorable</v>
      </c>
      <c r="G27" s="936" t="s">
        <v>1621</v>
      </c>
      <c r="H27" s="931" t="s">
        <v>1619</v>
      </c>
      <c r="I27" s="936" t="s">
        <v>1621</v>
      </c>
    </row>
    <row r="28" spans="1:9" x14ac:dyDescent="0.3">
      <c r="A28" s="924" t="str">
        <f t="shared" si="2"/>
        <v>NegativaInefectivo</v>
      </c>
      <c r="B28" s="925" t="s">
        <v>538</v>
      </c>
      <c r="C28" s="925" t="s">
        <v>131</v>
      </c>
      <c r="D28" s="925" t="s">
        <v>538</v>
      </c>
      <c r="F28" s="924" t="str">
        <f t="shared" ref="F28:F35" si="3">+CONCATENATE(G28,H28)</f>
        <v>DesfavorableCon Observaciones</v>
      </c>
      <c r="G28" s="936" t="s">
        <v>1621</v>
      </c>
      <c r="H28" s="937" t="s">
        <v>1620</v>
      </c>
      <c r="I28" s="936" t="s">
        <v>1621</v>
      </c>
    </row>
    <row r="29" spans="1:9" x14ac:dyDescent="0.3">
      <c r="A29" s="924" t="str">
        <f t="shared" si="2"/>
        <v>NegativaNO APLICA</v>
      </c>
      <c r="B29" s="925" t="s">
        <v>538</v>
      </c>
      <c r="C29" s="928" t="s">
        <v>460</v>
      </c>
      <c r="D29" s="925" t="s">
        <v>538</v>
      </c>
      <c r="F29" s="924" t="str">
        <f t="shared" si="3"/>
        <v>DesfavorableDesfavorable</v>
      </c>
      <c r="G29" s="936" t="s">
        <v>1621</v>
      </c>
      <c r="H29" s="936" t="s">
        <v>1621</v>
      </c>
      <c r="I29" s="936" t="s">
        <v>1621</v>
      </c>
    </row>
    <row r="30" spans="1:9" ht="15" x14ac:dyDescent="0.3">
      <c r="A30" s="924" t="str">
        <f t="shared" si="2"/>
        <v>AbstenciónEfectivo</v>
      </c>
      <c r="B30" s="925" t="s">
        <v>544</v>
      </c>
      <c r="C30" s="926" t="s">
        <v>146</v>
      </c>
      <c r="D30" s="925" t="s">
        <v>544</v>
      </c>
      <c r="F30" s="924" t="str">
        <f t="shared" si="3"/>
        <v>FavorableFavorable</v>
      </c>
      <c r="G30" s="931" t="s">
        <v>1619</v>
      </c>
      <c r="H30" s="931" t="s">
        <v>1619</v>
      </c>
      <c r="I30" s="931" t="s">
        <v>1619</v>
      </c>
    </row>
    <row r="31" spans="1:9" x14ac:dyDescent="0.3">
      <c r="A31" s="924" t="str">
        <f t="shared" si="2"/>
        <v>AbstenciónInefectivo</v>
      </c>
      <c r="B31" s="925" t="s">
        <v>544</v>
      </c>
      <c r="C31" s="925" t="s">
        <v>131</v>
      </c>
      <c r="D31" s="925" t="s">
        <v>544</v>
      </c>
      <c r="F31" s="924" t="str">
        <f t="shared" si="3"/>
        <v>FavorableCon Observaciones</v>
      </c>
      <c r="G31" s="931" t="s">
        <v>1619</v>
      </c>
      <c r="H31" s="937" t="s">
        <v>1620</v>
      </c>
      <c r="I31" s="931" t="s">
        <v>1619</v>
      </c>
    </row>
    <row r="32" spans="1:9" x14ac:dyDescent="0.3">
      <c r="A32" s="924" t="str">
        <f t="shared" si="2"/>
        <v>AbstenciónNO APLICA</v>
      </c>
      <c r="B32" s="925" t="s">
        <v>544</v>
      </c>
      <c r="C32" s="928" t="s">
        <v>460</v>
      </c>
      <c r="D32" s="925" t="s">
        <v>544</v>
      </c>
      <c r="F32" s="924" t="str">
        <f t="shared" si="3"/>
        <v>FavorableDesfavorable</v>
      </c>
      <c r="G32" s="931" t="s">
        <v>1619</v>
      </c>
      <c r="H32" s="936" t="s">
        <v>1621</v>
      </c>
      <c r="I32" s="936" t="s">
        <v>1621</v>
      </c>
    </row>
    <row r="33" spans="1:9" ht="15" x14ac:dyDescent="0.3">
      <c r="A33" s="924" t="str">
        <f t="shared" si="2"/>
        <v>Limpia o Sin SalvedadesEfectivo</v>
      </c>
      <c r="B33" s="926" t="s">
        <v>529</v>
      </c>
      <c r="C33" s="926" t="s">
        <v>146</v>
      </c>
      <c r="D33" s="926" t="s">
        <v>529</v>
      </c>
      <c r="F33" s="924" t="str">
        <f t="shared" si="3"/>
        <v>Con ObservacionesFavorable</v>
      </c>
      <c r="G33" s="937" t="s">
        <v>1620</v>
      </c>
      <c r="H33" s="931" t="s">
        <v>1619</v>
      </c>
      <c r="I33" s="931" t="s">
        <v>1619</v>
      </c>
    </row>
    <row r="34" spans="1:9" ht="15" x14ac:dyDescent="0.3">
      <c r="A34" s="924" t="str">
        <f t="shared" si="2"/>
        <v>Limpia o Sin SalvedadesInefectivo</v>
      </c>
      <c r="B34" s="926" t="s">
        <v>529</v>
      </c>
      <c r="C34" s="925" t="s">
        <v>131</v>
      </c>
      <c r="D34" s="926" t="s">
        <v>529</v>
      </c>
      <c r="F34" s="924" t="str">
        <f t="shared" si="3"/>
        <v>Con ObservacionesCon Observaciones</v>
      </c>
      <c r="G34" s="937" t="s">
        <v>1620</v>
      </c>
      <c r="H34" s="937" t="s">
        <v>1620</v>
      </c>
      <c r="I34" s="937" t="s">
        <v>1620</v>
      </c>
    </row>
    <row r="35" spans="1:9" ht="15" x14ac:dyDescent="0.3">
      <c r="A35" s="924" t="str">
        <f t="shared" si="2"/>
        <v>Limpia o Sin SalvedadesNO APLICA</v>
      </c>
      <c r="B35" s="926" t="s">
        <v>529</v>
      </c>
      <c r="C35" s="928" t="s">
        <v>460</v>
      </c>
      <c r="D35" s="926" t="s">
        <v>529</v>
      </c>
      <c r="F35" s="924" t="str">
        <f t="shared" si="3"/>
        <v>Con ObservacionesDesfavorable</v>
      </c>
      <c r="G35" s="937" t="s">
        <v>1620</v>
      </c>
      <c r="H35" s="936" t="s">
        <v>1621</v>
      </c>
      <c r="I35" s="936" t="s">
        <v>1621</v>
      </c>
    </row>
    <row r="36" spans="1:9" ht="15" x14ac:dyDescent="0.3">
      <c r="A36" s="924" t="str">
        <f t="shared" si="2"/>
        <v>Con SalvedadesEfectivo</v>
      </c>
      <c r="B36" s="928" t="s">
        <v>534</v>
      </c>
      <c r="C36" s="926" t="s">
        <v>146</v>
      </c>
      <c r="D36" s="928" t="s">
        <v>534</v>
      </c>
    </row>
    <row r="37" spans="1:9" x14ac:dyDescent="0.3">
      <c r="A37" s="924" t="str">
        <f t="shared" si="2"/>
        <v>Con SalvedadesInefectivo</v>
      </c>
      <c r="B37" s="928" t="s">
        <v>534</v>
      </c>
      <c r="C37" s="925" t="s">
        <v>131</v>
      </c>
      <c r="D37" s="928" t="s">
        <v>534</v>
      </c>
    </row>
    <row r="38" spans="1:9" x14ac:dyDescent="0.3">
      <c r="A38" s="924" t="str">
        <f t="shared" si="2"/>
        <v>Con SalvedadesNO APLICA</v>
      </c>
      <c r="B38" s="928" t="s">
        <v>534</v>
      </c>
      <c r="C38" s="928" t="s">
        <v>460</v>
      </c>
      <c r="D38" s="928" t="s">
        <v>534</v>
      </c>
    </row>
    <row r="39" spans="1:9" ht="27.6" x14ac:dyDescent="0.3">
      <c r="F39" s="921" t="s">
        <v>1602</v>
      </c>
      <c r="G39" s="921" t="s">
        <v>1646</v>
      </c>
      <c r="H39" s="921" t="s">
        <v>1647</v>
      </c>
      <c r="I39" s="921" t="s">
        <v>1648</v>
      </c>
    </row>
    <row r="40" spans="1:9" x14ac:dyDescent="0.3">
      <c r="D40" s="410" t="str">
        <f>IF(D87="SI","Razonable",IF(D88="SI","Con Salvedades",IF(AND(D89="SI",D90="Predomina Incorrecciones"),"No Razonable",IF(AND(D89="SI",D90="Predomina Imposibilidades"),"Abstención",""))))</f>
        <v/>
      </c>
      <c r="F40" s="924" t="str">
        <f>+CONCATENATE(G40,H40)</f>
        <v>No RazonableNo Razonable</v>
      </c>
      <c r="G40" s="925" t="s">
        <v>1608</v>
      </c>
      <c r="H40" s="925" t="s">
        <v>1608</v>
      </c>
      <c r="I40" s="925" t="s">
        <v>1608</v>
      </c>
    </row>
    <row r="41" spans="1:9" x14ac:dyDescent="0.3">
      <c r="F41" s="924" t="str">
        <f t="shared" ref="F41:F64" si="4">+CONCATENATE(G41,H41)</f>
        <v>No RazonableAbstención</v>
      </c>
      <c r="G41" s="925" t="s">
        <v>1608</v>
      </c>
      <c r="H41" s="925" t="s">
        <v>544</v>
      </c>
      <c r="I41" s="925" t="s">
        <v>544</v>
      </c>
    </row>
    <row r="42" spans="1:9" x14ac:dyDescent="0.3">
      <c r="F42" s="924" t="str">
        <f t="shared" si="4"/>
        <v>No RazonableCon Salvedades</v>
      </c>
      <c r="G42" s="925" t="s">
        <v>1608</v>
      </c>
      <c r="H42" s="928" t="s">
        <v>534</v>
      </c>
      <c r="I42" s="925" t="s">
        <v>1608</v>
      </c>
    </row>
    <row r="43" spans="1:9" x14ac:dyDescent="0.3">
      <c r="F43" s="924" t="str">
        <f t="shared" si="4"/>
        <v>No RazonableRazonable</v>
      </c>
      <c r="G43" s="925" t="s">
        <v>1608</v>
      </c>
      <c r="H43" s="931" t="s">
        <v>868</v>
      </c>
      <c r="I43" s="925" t="s">
        <v>1608</v>
      </c>
    </row>
    <row r="44" spans="1:9" x14ac:dyDescent="0.3">
      <c r="F44" s="924" t="str">
        <f t="shared" si="4"/>
        <v>No RazonableNo Aplica</v>
      </c>
      <c r="G44" s="925" t="s">
        <v>1608</v>
      </c>
      <c r="H44" s="929" t="s">
        <v>1449</v>
      </c>
      <c r="I44" s="925" t="s">
        <v>1608</v>
      </c>
    </row>
    <row r="45" spans="1:9" x14ac:dyDescent="0.3">
      <c r="F45" s="924" t="str">
        <f t="shared" si="4"/>
        <v>AbstenciónNo Razonable</v>
      </c>
      <c r="G45" s="925" t="s">
        <v>544</v>
      </c>
      <c r="H45" s="925" t="s">
        <v>1608</v>
      </c>
      <c r="I45" s="925" t="s">
        <v>544</v>
      </c>
    </row>
    <row r="46" spans="1:9" x14ac:dyDescent="0.3">
      <c r="F46" s="924" t="str">
        <f t="shared" si="4"/>
        <v>AbstenciónAbstención</v>
      </c>
      <c r="G46" s="925" t="s">
        <v>544</v>
      </c>
      <c r="H46" s="925" t="s">
        <v>544</v>
      </c>
      <c r="I46" s="925" t="s">
        <v>544</v>
      </c>
    </row>
    <row r="47" spans="1:9" x14ac:dyDescent="0.3">
      <c r="F47" s="924" t="str">
        <f t="shared" si="4"/>
        <v>AbstenciónCon Salvedades</v>
      </c>
      <c r="G47" s="925" t="s">
        <v>544</v>
      </c>
      <c r="H47" s="928" t="s">
        <v>534</v>
      </c>
      <c r="I47" s="925" t="s">
        <v>544</v>
      </c>
    </row>
    <row r="48" spans="1:9" x14ac:dyDescent="0.3">
      <c r="F48" s="924" t="str">
        <f t="shared" si="4"/>
        <v>AbstenciónRazonable</v>
      </c>
      <c r="G48" s="925" t="s">
        <v>544</v>
      </c>
      <c r="H48" s="931" t="s">
        <v>868</v>
      </c>
      <c r="I48" s="925" t="s">
        <v>544</v>
      </c>
    </row>
    <row r="49" spans="6:9" x14ac:dyDescent="0.3">
      <c r="F49" s="924" t="str">
        <f t="shared" si="4"/>
        <v>AbstenciónNo Aplica</v>
      </c>
      <c r="G49" s="925" t="s">
        <v>544</v>
      </c>
      <c r="H49" s="929" t="s">
        <v>1449</v>
      </c>
      <c r="I49" s="925" t="s">
        <v>544</v>
      </c>
    </row>
    <row r="50" spans="6:9" x14ac:dyDescent="0.3">
      <c r="F50" s="924" t="str">
        <f t="shared" si="4"/>
        <v>Con SalvedadesNo Razonable</v>
      </c>
      <c r="G50" s="928" t="s">
        <v>534</v>
      </c>
      <c r="H50" s="925" t="s">
        <v>1608</v>
      </c>
      <c r="I50" s="925" t="s">
        <v>1608</v>
      </c>
    </row>
    <row r="51" spans="6:9" x14ac:dyDescent="0.3">
      <c r="F51" s="924" t="str">
        <f t="shared" si="4"/>
        <v>Con SalvedadesAbstención</v>
      </c>
      <c r="G51" s="928" t="s">
        <v>534</v>
      </c>
      <c r="H51" s="925" t="s">
        <v>544</v>
      </c>
      <c r="I51" s="925" t="s">
        <v>544</v>
      </c>
    </row>
    <row r="52" spans="6:9" x14ac:dyDescent="0.3">
      <c r="F52" s="924" t="str">
        <f t="shared" si="4"/>
        <v>Con SalvedadesCon Salvedades</v>
      </c>
      <c r="G52" s="928" t="s">
        <v>534</v>
      </c>
      <c r="H52" s="928" t="s">
        <v>534</v>
      </c>
      <c r="I52" s="928" t="s">
        <v>534</v>
      </c>
    </row>
    <row r="53" spans="6:9" x14ac:dyDescent="0.3">
      <c r="F53" s="924" t="str">
        <f t="shared" si="4"/>
        <v>Con SalvedadesRazonable</v>
      </c>
      <c r="G53" s="928" t="s">
        <v>534</v>
      </c>
      <c r="H53" s="931" t="s">
        <v>868</v>
      </c>
      <c r="I53" s="928" t="s">
        <v>534</v>
      </c>
    </row>
    <row r="54" spans="6:9" x14ac:dyDescent="0.3">
      <c r="F54" s="924" t="str">
        <f t="shared" si="4"/>
        <v>Con SalvedadesNo Aplica</v>
      </c>
      <c r="G54" s="928" t="s">
        <v>534</v>
      </c>
      <c r="H54" s="929" t="s">
        <v>1449</v>
      </c>
      <c r="I54" s="928" t="s">
        <v>534</v>
      </c>
    </row>
    <row r="55" spans="6:9" x14ac:dyDescent="0.3">
      <c r="F55" s="924" t="str">
        <f t="shared" si="4"/>
        <v>RazonableNo Razonable</v>
      </c>
      <c r="G55" s="931" t="s">
        <v>868</v>
      </c>
      <c r="H55" s="925" t="s">
        <v>1608</v>
      </c>
      <c r="I55" s="925" t="s">
        <v>1608</v>
      </c>
    </row>
    <row r="56" spans="6:9" x14ac:dyDescent="0.3">
      <c r="F56" s="924" t="str">
        <f t="shared" si="4"/>
        <v>RazonableAbstención</v>
      </c>
      <c r="G56" s="931" t="s">
        <v>868</v>
      </c>
      <c r="H56" s="925" t="s">
        <v>544</v>
      </c>
      <c r="I56" s="925" t="s">
        <v>544</v>
      </c>
    </row>
    <row r="57" spans="6:9" x14ac:dyDescent="0.3">
      <c r="F57" s="924" t="str">
        <f t="shared" si="4"/>
        <v>RazonableCon Salvedades</v>
      </c>
      <c r="G57" s="931" t="s">
        <v>868</v>
      </c>
      <c r="H57" s="928" t="s">
        <v>534</v>
      </c>
      <c r="I57" s="928" t="s">
        <v>534</v>
      </c>
    </row>
    <row r="58" spans="6:9" x14ac:dyDescent="0.3">
      <c r="F58" s="924" t="str">
        <f t="shared" si="4"/>
        <v>RazonableRazonable</v>
      </c>
      <c r="G58" s="931" t="s">
        <v>868</v>
      </c>
      <c r="H58" s="931" t="s">
        <v>868</v>
      </c>
      <c r="I58" s="931" t="s">
        <v>868</v>
      </c>
    </row>
    <row r="59" spans="6:9" x14ac:dyDescent="0.3">
      <c r="F59" s="924" t="str">
        <f t="shared" si="4"/>
        <v>RazonableNo Aplica</v>
      </c>
      <c r="G59" s="931" t="s">
        <v>868</v>
      </c>
      <c r="H59" s="929" t="s">
        <v>1449</v>
      </c>
      <c r="I59" s="931" t="s">
        <v>868</v>
      </c>
    </row>
    <row r="60" spans="6:9" x14ac:dyDescent="0.3">
      <c r="F60" s="924" t="str">
        <f t="shared" si="4"/>
        <v>No AplicaNo Razonable</v>
      </c>
      <c r="G60" s="929" t="s">
        <v>1449</v>
      </c>
      <c r="H60" s="925" t="s">
        <v>1608</v>
      </c>
      <c r="I60" s="925" t="s">
        <v>1608</v>
      </c>
    </row>
    <row r="61" spans="6:9" x14ac:dyDescent="0.3">
      <c r="F61" s="924" t="str">
        <f t="shared" si="4"/>
        <v>No AplicaAbstención</v>
      </c>
      <c r="G61" s="929" t="s">
        <v>1449</v>
      </c>
      <c r="H61" s="925" t="s">
        <v>544</v>
      </c>
      <c r="I61" s="925" t="s">
        <v>544</v>
      </c>
    </row>
    <row r="62" spans="6:9" x14ac:dyDescent="0.3">
      <c r="F62" s="924" t="str">
        <f t="shared" si="4"/>
        <v>No AplicaCon Salvedades</v>
      </c>
      <c r="G62" s="929" t="s">
        <v>1449</v>
      </c>
      <c r="H62" s="928" t="s">
        <v>534</v>
      </c>
      <c r="I62" s="928" t="s">
        <v>534</v>
      </c>
    </row>
    <row r="63" spans="6:9" x14ac:dyDescent="0.3">
      <c r="F63" s="924" t="str">
        <f t="shared" si="4"/>
        <v>No AplicaRazonable</v>
      </c>
      <c r="G63" s="929" t="s">
        <v>1449</v>
      </c>
      <c r="H63" s="931" t="s">
        <v>868</v>
      </c>
      <c r="I63" s="931" t="s">
        <v>868</v>
      </c>
    </row>
    <row r="64" spans="6:9" x14ac:dyDescent="0.3">
      <c r="F64" s="924" t="str">
        <f t="shared" si="4"/>
        <v>No AplicaNo Aplica</v>
      </c>
      <c r="G64" s="929" t="s">
        <v>1449</v>
      </c>
      <c r="H64" s="929" t="s">
        <v>1449</v>
      </c>
      <c r="I64" s="929" t="s">
        <v>1449</v>
      </c>
    </row>
  </sheetData>
  <conditionalFormatting sqref="B7:B10">
    <cfRule type="containsText" dxfId="293" priority="45" operator="containsText" text="Abstención">
      <formula>NOT(ISERROR(SEARCH("Abstención",B7)))</formula>
    </cfRule>
  </conditionalFormatting>
  <conditionalFormatting sqref="B30:B32">
    <cfRule type="containsText" dxfId="292" priority="39" operator="containsText" text="Abstención">
      <formula>NOT(ISERROR(SEARCH("Abstención",B30)))</formula>
    </cfRule>
  </conditionalFormatting>
  <conditionalFormatting sqref="D7:D10">
    <cfRule type="containsText" dxfId="291" priority="44" operator="containsText" text="Abstención">
      <formula>NOT(ISERROR(SEARCH("Abstención",D7)))</formula>
    </cfRule>
  </conditionalFormatting>
  <conditionalFormatting sqref="D30:D32">
    <cfRule type="containsText" dxfId="290" priority="37" operator="containsText" text="Abstención">
      <formula>NOT(ISERROR(SEARCH("Abstención",D30)))</formula>
    </cfRule>
  </conditionalFormatting>
  <conditionalFormatting sqref="G7:G10">
    <cfRule type="containsText" dxfId="289" priority="34" operator="containsText" text="Abstención">
      <formula>NOT(ISERROR(SEARCH("Abstención",G7)))</formula>
    </cfRule>
  </conditionalFormatting>
  <conditionalFormatting sqref="G30:G32">
    <cfRule type="containsText" dxfId="288" priority="24" operator="containsText" text="Abstención">
      <formula>NOT(ISERROR(SEARCH("Abstención",G30)))</formula>
    </cfRule>
  </conditionalFormatting>
  <conditionalFormatting sqref="G45:G49">
    <cfRule type="containsText" dxfId="287" priority="10" operator="containsText" text="Abstención">
      <formula>NOT(ISERROR(SEARCH("Abstención",G45)))</formula>
    </cfRule>
  </conditionalFormatting>
  <conditionalFormatting sqref="H4">
    <cfRule type="containsText" dxfId="286" priority="35" operator="containsText" text="Abstención">
      <formula>NOT(ISERROR(SEARCH("Abstención",H4)))</formula>
    </cfRule>
  </conditionalFormatting>
  <conditionalFormatting sqref="H8">
    <cfRule type="containsText" dxfId="285" priority="33" operator="containsText" text="Abstención">
      <formula>NOT(ISERROR(SEARCH("Abstención",H8)))</formula>
    </cfRule>
  </conditionalFormatting>
  <conditionalFormatting sqref="H12">
    <cfRule type="containsText" dxfId="284" priority="32" operator="containsText" text="Abstención">
      <formula>NOT(ISERROR(SEARCH("Abstención",H12)))</formula>
    </cfRule>
  </conditionalFormatting>
  <conditionalFormatting sqref="H16">
    <cfRule type="containsText" dxfId="283" priority="31" operator="containsText" text="Abstención">
      <formula>NOT(ISERROR(SEARCH("Abstención",H16)))</formula>
    </cfRule>
  </conditionalFormatting>
  <conditionalFormatting sqref="H27">
    <cfRule type="containsText" dxfId="282" priority="23" operator="containsText" text="Abstención">
      <formula>NOT(ISERROR(SEARCH("Abstención",H27)))</formula>
    </cfRule>
  </conditionalFormatting>
  <conditionalFormatting sqref="H30">
    <cfRule type="containsText" dxfId="281" priority="22" operator="containsText" text="Abstención">
      <formula>NOT(ISERROR(SEARCH("Abstención",H30)))</formula>
    </cfRule>
  </conditionalFormatting>
  <conditionalFormatting sqref="H46">
    <cfRule type="containsText" dxfId="280" priority="11" operator="containsText" text="Abstención">
      <formula>NOT(ISERROR(SEARCH("Abstención",H46)))</formula>
    </cfRule>
  </conditionalFormatting>
  <conditionalFormatting sqref="H33:I33">
    <cfRule type="containsText" dxfId="279" priority="20" operator="containsText" text="Abstención">
      <formula>NOT(ISERROR(SEARCH("Abstención",H33)))</formula>
    </cfRule>
  </conditionalFormatting>
  <conditionalFormatting sqref="H41:I41">
    <cfRule type="containsText" dxfId="278" priority="4" operator="containsText" text="Abstención">
      <formula>NOT(ISERROR(SEARCH("Abstención",H41)))</formula>
    </cfRule>
  </conditionalFormatting>
  <conditionalFormatting sqref="H51:I51">
    <cfRule type="containsText" dxfId="277" priority="3" operator="containsText" text="Abstención">
      <formula>NOT(ISERROR(SEARCH("Abstención",H51)))</formula>
    </cfRule>
  </conditionalFormatting>
  <conditionalFormatting sqref="H56:I56">
    <cfRule type="containsText" dxfId="276" priority="2" operator="containsText" text="Abstención">
      <formula>NOT(ISERROR(SEARCH("Abstención",H56)))</formula>
    </cfRule>
  </conditionalFormatting>
  <conditionalFormatting sqref="H61:I61">
    <cfRule type="containsText" dxfId="275" priority="1" operator="containsText" text="Abstención">
      <formula>NOT(ISERROR(SEARCH("Abstención",H61)))</formula>
    </cfRule>
  </conditionalFormatting>
  <conditionalFormatting sqref="I3:I12">
    <cfRule type="containsText" dxfId="274" priority="26" operator="containsText" text="NO">
      <formula>NOT(ISERROR(SEARCH("NO",I3)))</formula>
    </cfRule>
  </conditionalFormatting>
  <conditionalFormatting sqref="I15:I16">
    <cfRule type="containsText" dxfId="273" priority="28" operator="containsText" text="NO">
      <formula>NOT(ISERROR(SEARCH("NO",I15)))</formula>
    </cfRule>
  </conditionalFormatting>
  <conditionalFormatting sqref="I30:I31">
    <cfRule type="containsText" dxfId="272" priority="18" operator="containsText" text="Abstención">
      <formula>NOT(ISERROR(SEARCH("Abstención",I30)))</formula>
    </cfRule>
  </conditionalFormatting>
  <conditionalFormatting sqref="I45:I49">
    <cfRule type="containsText" dxfId="271" priority="5" operator="containsText" text="Abstención">
      <formula>NOT(ISERROR(SEARCH("Abstención",I45)))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05"/>
  <sheetViews>
    <sheetView topLeftCell="D10" zoomScale="70" zoomScaleNormal="70" workbookViewId="0">
      <selection activeCell="I24" sqref="I24:J24"/>
    </sheetView>
  </sheetViews>
  <sheetFormatPr baseColWidth="10" defaultRowHeight="14.4" x14ac:dyDescent="0.3"/>
  <cols>
    <col min="2" max="2" width="11.44140625" customWidth="1"/>
    <col min="3" max="3" width="43.6640625" customWidth="1"/>
    <col min="4" max="4" width="66.109375" customWidth="1"/>
    <col min="6" max="6" width="89.109375" style="792" customWidth="1"/>
    <col min="7" max="7" width="30.44140625" bestFit="1" customWidth="1"/>
    <col min="8" max="8" width="51.33203125" customWidth="1"/>
    <col min="9" max="9" width="19.44140625" style="1585" customWidth="1"/>
    <col min="10" max="10" width="15.5546875" customWidth="1"/>
    <col min="12" max="12" width="16.44140625" customWidth="1"/>
    <col min="13" max="14" width="18.33203125" customWidth="1"/>
    <col min="15" max="15" width="15.6640625" customWidth="1"/>
    <col min="16" max="17" width="17.44140625" customWidth="1"/>
    <col min="19" max="19" width="41.44140625" customWidth="1"/>
    <col min="20" max="20" width="35.6640625" customWidth="1"/>
    <col min="21" max="21" width="35.33203125" customWidth="1"/>
    <col min="22" max="22" width="25" customWidth="1"/>
    <col min="23" max="23" width="18.109375" customWidth="1"/>
    <col min="24" max="24" width="19.33203125" customWidth="1"/>
    <col min="28" max="28" width="22.6640625" customWidth="1"/>
    <col min="29" max="29" width="16.6640625" customWidth="1"/>
    <col min="30" max="30" width="14.33203125" customWidth="1"/>
    <col min="31" max="31" width="11.44140625" customWidth="1"/>
    <col min="32" max="32" width="31.6640625" customWidth="1"/>
    <col min="33" max="33" width="11.44140625" customWidth="1"/>
    <col min="40" max="40" width="20.6640625" customWidth="1"/>
    <col min="48" max="48" width="36.88671875" customWidth="1"/>
    <col min="49" max="49" width="24" customWidth="1"/>
  </cols>
  <sheetData>
    <row r="1" spans="1:49" x14ac:dyDescent="0.3">
      <c r="A1" s="30"/>
      <c r="B1" s="30"/>
      <c r="C1" s="30"/>
      <c r="D1" s="30"/>
      <c r="E1" s="30"/>
      <c r="F1" s="775"/>
      <c r="G1" s="30"/>
      <c r="H1" s="30"/>
      <c r="I1" s="797"/>
      <c r="J1" s="30"/>
      <c r="K1" s="30"/>
      <c r="L1" s="30"/>
      <c r="M1" s="30"/>
      <c r="N1" s="30"/>
      <c r="O1" s="30"/>
      <c r="P1" s="30"/>
      <c r="Q1" s="30"/>
      <c r="R1" s="30"/>
      <c r="S1" s="30"/>
      <c r="T1" s="30"/>
      <c r="U1" s="30"/>
      <c r="V1" s="30"/>
      <c r="W1" s="30"/>
      <c r="X1" s="30"/>
      <c r="Y1" s="30"/>
      <c r="Z1" s="30"/>
      <c r="AA1" s="30"/>
      <c r="AB1" s="30"/>
      <c r="AC1" s="30"/>
      <c r="AD1" s="30"/>
      <c r="AE1" s="30"/>
      <c r="AF1" s="30"/>
      <c r="AG1" s="30"/>
    </row>
    <row r="2" spans="1:49" ht="63" customHeight="1" x14ac:dyDescent="0.3">
      <c r="A2" s="30"/>
      <c r="B2" s="775" t="s">
        <v>302</v>
      </c>
      <c r="C2" s="775" t="s">
        <v>303</v>
      </c>
      <c r="D2" s="775" t="s">
        <v>304</v>
      </c>
      <c r="E2" s="775"/>
      <c r="F2" s="775" t="s">
        <v>468</v>
      </c>
      <c r="G2" s="30" t="s">
        <v>469</v>
      </c>
      <c r="H2" s="30" t="s">
        <v>303</v>
      </c>
      <c r="I2" s="797" t="s">
        <v>509</v>
      </c>
      <c r="J2" s="30" t="s">
        <v>1767</v>
      </c>
      <c r="K2" s="30"/>
      <c r="L2" s="776" t="s">
        <v>159</v>
      </c>
      <c r="M2" s="777" t="s">
        <v>161</v>
      </c>
      <c r="N2" s="777" t="s">
        <v>1336</v>
      </c>
      <c r="O2" s="777" t="s">
        <v>160</v>
      </c>
      <c r="P2" s="777" t="s">
        <v>161</v>
      </c>
      <c r="Q2" s="777" t="s">
        <v>1337</v>
      </c>
      <c r="R2" s="30"/>
      <c r="S2" s="778" t="s">
        <v>1338</v>
      </c>
      <c r="T2" s="778" t="s">
        <v>1339</v>
      </c>
      <c r="U2" s="778" t="s">
        <v>1340</v>
      </c>
      <c r="V2" s="778" t="s">
        <v>1341</v>
      </c>
      <c r="W2" s="778" t="s">
        <v>1342</v>
      </c>
      <c r="X2" s="778" t="s">
        <v>1343</v>
      </c>
      <c r="Z2" s="254"/>
      <c r="AA2" s="271"/>
      <c r="AB2" s="1632" t="s">
        <v>200</v>
      </c>
      <c r="AC2" s="1632" t="s">
        <v>471</v>
      </c>
      <c r="AD2" s="1632"/>
      <c r="AE2" s="30"/>
      <c r="AF2" s="255" t="s">
        <v>472</v>
      </c>
      <c r="AG2" s="30"/>
      <c r="AH2" s="1635" t="s">
        <v>1344</v>
      </c>
      <c r="AI2" s="1635"/>
      <c r="AJ2" s="1635"/>
      <c r="AK2" s="1635"/>
      <c r="AL2" s="1635"/>
      <c r="AM2" s="1635"/>
      <c r="AN2" s="1635"/>
      <c r="AO2" s="1635" t="s">
        <v>1345</v>
      </c>
      <c r="AP2" s="1635"/>
      <c r="AQ2" s="1635"/>
      <c r="AR2" s="1635"/>
      <c r="AS2" s="1635"/>
      <c r="AT2" s="1635"/>
      <c r="AV2" s="779" t="s">
        <v>200</v>
      </c>
      <c r="AW2" s="779" t="s">
        <v>178</v>
      </c>
    </row>
    <row r="3" spans="1:49" ht="48" customHeight="1" x14ac:dyDescent="0.3">
      <c r="A3" s="30"/>
      <c r="B3" s="30">
        <v>100000</v>
      </c>
      <c r="C3" s="30" t="s">
        <v>306</v>
      </c>
      <c r="D3" s="30" t="s">
        <v>483</v>
      </c>
      <c r="E3" s="30"/>
      <c r="F3" s="775" t="s">
        <v>484</v>
      </c>
      <c r="G3" s="30" t="s">
        <v>485</v>
      </c>
      <c r="H3" s="30" t="s">
        <v>486</v>
      </c>
      <c r="I3" s="797"/>
      <c r="J3" s="780" t="s">
        <v>494</v>
      </c>
      <c r="K3" s="781"/>
      <c r="L3" s="782">
        <v>5</v>
      </c>
      <c r="M3" s="783" t="s">
        <v>165</v>
      </c>
      <c r="N3" s="784">
        <v>0.3</v>
      </c>
      <c r="O3" s="785">
        <v>4</v>
      </c>
      <c r="P3" s="783" t="s">
        <v>165</v>
      </c>
      <c r="Q3" s="784">
        <v>0.3</v>
      </c>
      <c r="R3" s="30"/>
      <c r="S3" s="786" t="s">
        <v>1284</v>
      </c>
      <c r="T3" s="787" t="s">
        <v>470</v>
      </c>
      <c r="U3" s="788" t="s">
        <v>1346</v>
      </c>
      <c r="V3" s="789" t="s">
        <v>1347</v>
      </c>
      <c r="W3" s="790" t="s">
        <v>1260</v>
      </c>
      <c r="X3" s="791">
        <v>0</v>
      </c>
      <c r="Z3" s="254"/>
      <c r="AA3" s="271"/>
      <c r="AB3" s="1632"/>
      <c r="AC3" s="261" t="s">
        <v>488</v>
      </c>
      <c r="AD3" s="261" t="s">
        <v>489</v>
      </c>
      <c r="AF3" s="262" t="s">
        <v>470</v>
      </c>
      <c r="AG3" s="30"/>
      <c r="AH3" s="792" t="s">
        <v>1348</v>
      </c>
      <c r="AO3" s="792" t="s">
        <v>1348</v>
      </c>
      <c r="AV3" s="793" t="s">
        <v>1617</v>
      </c>
      <c r="AW3" s="793">
        <v>1</v>
      </c>
    </row>
    <row r="4" spans="1:49" ht="47.25" customHeight="1" x14ac:dyDescent="0.3">
      <c r="A4" s="30"/>
      <c r="B4" s="30">
        <v>110000</v>
      </c>
      <c r="C4" s="30" t="s">
        <v>308</v>
      </c>
      <c r="D4" s="30" t="s">
        <v>496</v>
      </c>
      <c r="E4" s="30"/>
      <c r="F4" s="775" t="s">
        <v>497</v>
      </c>
      <c r="G4" s="30" t="s">
        <v>485</v>
      </c>
      <c r="H4" s="30" t="s">
        <v>498</v>
      </c>
      <c r="I4" s="797"/>
      <c r="J4" s="780" t="s">
        <v>494</v>
      </c>
      <c r="K4" s="781"/>
      <c r="L4">
        <v>6</v>
      </c>
      <c r="M4" s="783" t="s">
        <v>165</v>
      </c>
      <c r="N4" s="784">
        <v>0.3</v>
      </c>
      <c r="O4">
        <v>5</v>
      </c>
      <c r="P4" s="783" t="s">
        <v>165</v>
      </c>
      <c r="Q4" s="784">
        <v>0.3</v>
      </c>
      <c r="R4" s="30"/>
      <c r="S4" s="786" t="s">
        <v>1349</v>
      </c>
      <c r="T4" s="794" t="s">
        <v>500</v>
      </c>
      <c r="U4" s="788" t="s">
        <v>1288</v>
      </c>
      <c r="V4" s="789" t="s">
        <v>928</v>
      </c>
      <c r="W4" s="790" t="s">
        <v>1255</v>
      </c>
      <c r="X4" s="791">
        <v>0.05</v>
      </c>
      <c r="Z4" s="254"/>
      <c r="AA4" s="271"/>
      <c r="AB4" s="267" t="s">
        <v>499</v>
      </c>
      <c r="AC4" s="268">
        <v>0.75</v>
      </c>
      <c r="AD4" s="268">
        <v>1</v>
      </c>
      <c r="AE4" s="30"/>
      <c r="AF4" s="262" t="s">
        <v>500</v>
      </c>
      <c r="AG4" s="30"/>
      <c r="AH4" s="795" t="s">
        <v>1350</v>
      </c>
      <c r="AI4" s="792" t="s">
        <v>470</v>
      </c>
      <c r="AJ4" t="str">
        <f>CONCATENATE(AH4," ",AI4)</f>
        <v>O1 INGRESOS</v>
      </c>
      <c r="AL4" s="796"/>
      <c r="AM4" s="792"/>
      <c r="AO4" s="795">
        <v>41</v>
      </c>
      <c r="AP4" s="792" t="s">
        <v>470</v>
      </c>
      <c r="AQ4" t="str">
        <f>CONCATENATE(AO4," ",AP4)</f>
        <v>41 INGRESOS</v>
      </c>
      <c r="AV4" s="793" t="s">
        <v>958</v>
      </c>
      <c r="AW4" s="793">
        <v>0.75</v>
      </c>
    </row>
    <row r="5" spans="1:49" ht="64.5" customHeight="1" x14ac:dyDescent="0.3">
      <c r="A5" s="30"/>
      <c r="B5" s="30">
        <v>12000</v>
      </c>
      <c r="C5" s="30" t="s">
        <v>310</v>
      </c>
      <c r="D5" s="30" t="s">
        <v>502</v>
      </c>
      <c r="E5" s="30"/>
      <c r="F5" s="775" t="s">
        <v>307</v>
      </c>
      <c r="G5" s="30" t="s">
        <v>504</v>
      </c>
      <c r="H5" s="30" t="s">
        <v>496</v>
      </c>
      <c r="I5" s="797" t="s">
        <v>1351</v>
      </c>
      <c r="J5" s="780"/>
      <c r="K5" s="30"/>
      <c r="L5" s="782">
        <v>7</v>
      </c>
      <c r="M5" s="783" t="s">
        <v>165</v>
      </c>
      <c r="N5" s="784">
        <v>0.3</v>
      </c>
      <c r="O5" s="785">
        <v>6</v>
      </c>
      <c r="P5" s="783" t="s">
        <v>165</v>
      </c>
      <c r="Q5" s="784">
        <v>0.3</v>
      </c>
      <c r="R5" s="30"/>
      <c r="S5" s="786" t="s">
        <v>1352</v>
      </c>
      <c r="T5" s="787" t="s">
        <v>808</v>
      </c>
      <c r="U5" s="788" t="s">
        <v>1280</v>
      </c>
      <c r="V5" s="789" t="s">
        <v>1267</v>
      </c>
      <c r="W5" s="790" t="s">
        <v>1271</v>
      </c>
      <c r="X5" s="791">
        <v>0.1</v>
      </c>
      <c r="Y5" s="271"/>
      <c r="Z5" s="254"/>
      <c r="AA5" s="271"/>
      <c r="AB5" s="272" t="s">
        <v>289</v>
      </c>
      <c r="AC5" s="268">
        <v>0.65</v>
      </c>
      <c r="AD5" s="268">
        <v>0.75</v>
      </c>
      <c r="AE5" s="30"/>
      <c r="AF5" s="262" t="s">
        <v>506</v>
      </c>
      <c r="AG5" s="30"/>
      <c r="AH5" s="795" t="s">
        <v>1353</v>
      </c>
      <c r="AI5" s="792" t="s">
        <v>1354</v>
      </c>
      <c r="AJ5" t="str">
        <f t="shared" ref="AJ5:AJ68" si="0">CONCATENATE(AH5," ",AI5)</f>
        <v>O10 DISPONIBILIDAD INICIAL</v>
      </c>
      <c r="AL5" s="795"/>
      <c r="AM5" s="792"/>
      <c r="AO5" s="795">
        <v>410</v>
      </c>
      <c r="AP5" s="792" t="s">
        <v>1354</v>
      </c>
      <c r="AQ5" t="str">
        <f t="shared" ref="AQ5:AQ68" si="1">CONCATENATE(AO5," ",AP5)</f>
        <v>410 DISPONIBILIDAD INICIAL</v>
      </c>
      <c r="AV5" s="793" t="s">
        <v>1355</v>
      </c>
      <c r="AW5" s="793">
        <v>0</v>
      </c>
    </row>
    <row r="6" spans="1:49" ht="45" customHeight="1" x14ac:dyDescent="0.3">
      <c r="A6" s="30"/>
      <c r="B6" s="30">
        <v>120000</v>
      </c>
      <c r="C6" s="30" t="s">
        <v>312</v>
      </c>
      <c r="D6" s="30" t="s">
        <v>511</v>
      </c>
      <c r="E6" s="30"/>
      <c r="F6" s="775" t="s">
        <v>512</v>
      </c>
      <c r="G6" s="30" t="s">
        <v>513</v>
      </c>
      <c r="H6" s="30" t="s">
        <v>496</v>
      </c>
      <c r="I6" s="797" t="s">
        <v>1351</v>
      </c>
      <c r="J6" s="30" t="s">
        <v>494</v>
      </c>
      <c r="K6" s="30"/>
      <c r="L6">
        <v>8</v>
      </c>
      <c r="M6" s="783" t="s">
        <v>165</v>
      </c>
      <c r="N6" s="784">
        <v>0.3</v>
      </c>
      <c r="O6" s="798">
        <v>7</v>
      </c>
      <c r="P6" s="783" t="s">
        <v>165</v>
      </c>
      <c r="Q6" s="784">
        <v>0.3</v>
      </c>
      <c r="R6" s="30"/>
      <c r="S6" s="786" t="s">
        <v>1356</v>
      </c>
      <c r="T6" s="787" t="s">
        <v>811</v>
      </c>
      <c r="U6" s="799" t="s">
        <v>1254</v>
      </c>
      <c r="V6" s="789" t="s">
        <v>1283</v>
      </c>
      <c r="W6" s="790" t="s">
        <v>1289</v>
      </c>
      <c r="X6" s="791">
        <v>0.15</v>
      </c>
      <c r="Y6" s="271"/>
      <c r="Z6" s="254"/>
      <c r="AA6" s="271"/>
      <c r="AB6" s="267" t="s">
        <v>514</v>
      </c>
      <c r="AC6" s="268">
        <v>0</v>
      </c>
      <c r="AD6" s="268">
        <v>0.65</v>
      </c>
      <c r="AE6" s="30"/>
      <c r="AF6" s="262" t="s">
        <v>515</v>
      </c>
      <c r="AG6" s="30"/>
      <c r="AH6" s="795" t="s">
        <v>1357</v>
      </c>
      <c r="AI6" t="s">
        <v>1358</v>
      </c>
      <c r="AJ6" t="str">
        <f t="shared" si="0"/>
        <v>O1002 Bancos</v>
      </c>
      <c r="AL6" s="795"/>
      <c r="AM6" s="792"/>
      <c r="AO6" s="795">
        <v>41002</v>
      </c>
      <c r="AP6" t="s">
        <v>1358</v>
      </c>
      <c r="AQ6" t="str">
        <f t="shared" si="1"/>
        <v>41002 Bancos</v>
      </c>
      <c r="AV6" s="793" t="s">
        <v>1618</v>
      </c>
      <c r="AW6" s="793">
        <v>0</v>
      </c>
    </row>
    <row r="7" spans="1:49" ht="50.25" customHeight="1" x14ac:dyDescent="0.3">
      <c r="A7" s="30"/>
      <c r="B7" s="30">
        <v>12101</v>
      </c>
      <c r="C7" s="30" t="s">
        <v>314</v>
      </c>
      <c r="D7" s="30" t="s">
        <v>486</v>
      </c>
      <c r="E7" s="30"/>
      <c r="F7" s="775" t="s">
        <v>517</v>
      </c>
      <c r="G7" s="30" t="s">
        <v>513</v>
      </c>
      <c r="H7" s="30" t="s">
        <v>496</v>
      </c>
      <c r="I7" s="797" t="s">
        <v>1351</v>
      </c>
      <c r="J7" s="30" t="s">
        <v>494</v>
      </c>
      <c r="K7" s="30"/>
      <c r="L7" s="782">
        <v>9</v>
      </c>
      <c r="M7" s="783" t="s">
        <v>165</v>
      </c>
      <c r="N7" s="784">
        <v>0.3</v>
      </c>
      <c r="O7" s="785">
        <v>8</v>
      </c>
      <c r="P7" s="800" t="s">
        <v>166</v>
      </c>
      <c r="Q7" s="784">
        <v>0.25</v>
      </c>
      <c r="R7" s="30"/>
      <c r="S7" s="786" t="s">
        <v>1359</v>
      </c>
      <c r="T7" s="787" t="s">
        <v>813</v>
      </c>
      <c r="U7" s="799" t="s">
        <v>1360</v>
      </c>
      <c r="V7" s="789" t="s">
        <v>1286</v>
      </c>
      <c r="W7" s="790" t="s">
        <v>1265</v>
      </c>
      <c r="X7" s="791">
        <v>0.15</v>
      </c>
      <c r="Y7" s="271"/>
      <c r="Z7" s="254"/>
      <c r="AA7" s="271"/>
      <c r="AB7" s="267" t="s">
        <v>518</v>
      </c>
      <c r="AC7" s="1633" t="s">
        <v>519</v>
      </c>
      <c r="AD7" s="1633"/>
      <c r="AE7" s="30"/>
      <c r="AF7" s="278" t="s">
        <v>520</v>
      </c>
      <c r="AG7" s="30"/>
      <c r="AH7" s="801" t="s">
        <v>1361</v>
      </c>
      <c r="AI7" t="s">
        <v>1362</v>
      </c>
      <c r="AJ7" t="str">
        <f t="shared" si="0"/>
        <v>O1003 Inversiones Temporales</v>
      </c>
      <c r="AL7" s="795"/>
      <c r="AO7" s="801">
        <v>41003</v>
      </c>
      <c r="AP7" t="s">
        <v>1362</v>
      </c>
      <c r="AQ7" t="str">
        <f t="shared" si="1"/>
        <v>41003 Inversiones Temporales</v>
      </c>
      <c r="AV7" s="793" t="s">
        <v>1363</v>
      </c>
      <c r="AW7" s="793">
        <v>0</v>
      </c>
    </row>
    <row r="8" spans="1:49" ht="48" customHeight="1" x14ac:dyDescent="0.3">
      <c r="A8" s="30"/>
      <c r="B8" s="30">
        <v>12102</v>
      </c>
      <c r="C8" s="30" t="s">
        <v>316</v>
      </c>
      <c r="D8" s="30" t="s">
        <v>525</v>
      </c>
      <c r="E8" s="30"/>
      <c r="F8" s="775" t="s">
        <v>526</v>
      </c>
      <c r="G8" s="30" t="s">
        <v>513</v>
      </c>
      <c r="H8" s="30" t="s">
        <v>496</v>
      </c>
      <c r="I8" s="797" t="s">
        <v>1351</v>
      </c>
      <c r="J8" s="30" t="s">
        <v>494</v>
      </c>
      <c r="K8" s="30"/>
      <c r="L8" s="802">
        <v>10</v>
      </c>
      <c r="M8" s="800" t="s">
        <v>166</v>
      </c>
      <c r="N8" s="784">
        <v>0.25</v>
      </c>
      <c r="O8" s="798">
        <v>9</v>
      </c>
      <c r="P8" s="800" t="s">
        <v>166</v>
      </c>
      <c r="Q8" s="784">
        <v>0.25</v>
      </c>
      <c r="R8" s="30"/>
      <c r="S8" s="786" t="s">
        <v>1259</v>
      </c>
      <c r="T8" s="787" t="s">
        <v>812</v>
      </c>
      <c r="U8" s="788" t="s">
        <v>1285</v>
      </c>
      <c r="V8" s="789" t="s">
        <v>1309</v>
      </c>
      <c r="W8" s="790" t="s">
        <v>1364</v>
      </c>
      <c r="X8" s="791">
        <v>0.15</v>
      </c>
      <c r="Y8" s="271"/>
      <c r="Z8" s="254"/>
      <c r="AA8" s="271"/>
      <c r="AB8" s="271"/>
      <c r="AC8" s="271"/>
      <c r="AD8" s="271"/>
      <c r="AE8" s="30"/>
      <c r="AF8" s="278" t="s">
        <v>527</v>
      </c>
      <c r="AG8" s="30"/>
      <c r="AH8" s="796" t="s">
        <v>1365</v>
      </c>
      <c r="AI8" s="792" t="s">
        <v>1366</v>
      </c>
      <c r="AJ8" t="str">
        <f t="shared" si="0"/>
        <v>O11 INGRESOS CORRIENTES</v>
      </c>
      <c r="AL8" s="795"/>
      <c r="AO8" s="796">
        <v>411</v>
      </c>
      <c r="AP8" s="792" t="s">
        <v>1366</v>
      </c>
      <c r="AQ8" t="str">
        <f t="shared" si="1"/>
        <v>411 INGRESOS CORRIENTES</v>
      </c>
      <c r="AV8" s="793" t="s">
        <v>518</v>
      </c>
      <c r="AW8" s="793">
        <v>0</v>
      </c>
    </row>
    <row r="9" spans="1:49" ht="59.25" customHeight="1" x14ac:dyDescent="0.3">
      <c r="A9" s="30"/>
      <c r="B9" s="30">
        <v>12103</v>
      </c>
      <c r="C9" s="30" t="s">
        <v>318</v>
      </c>
      <c r="D9" s="30" t="s">
        <v>530</v>
      </c>
      <c r="E9" s="30"/>
      <c r="F9" s="775" t="s">
        <v>531</v>
      </c>
      <c r="G9" s="30" t="s">
        <v>485</v>
      </c>
      <c r="H9" s="30" t="s">
        <v>532</v>
      </c>
      <c r="I9" s="797"/>
      <c r="J9" s="30" t="s">
        <v>494</v>
      </c>
      <c r="K9" s="30"/>
      <c r="L9" s="782">
        <v>11</v>
      </c>
      <c r="M9" s="800" t="s">
        <v>166</v>
      </c>
      <c r="N9" s="784">
        <v>0.25</v>
      </c>
      <c r="O9" s="785">
        <v>10</v>
      </c>
      <c r="P9" s="800" t="s">
        <v>166</v>
      </c>
      <c r="Q9" s="784">
        <v>0.25</v>
      </c>
      <c r="R9" s="30"/>
      <c r="S9" s="786" t="s">
        <v>1367</v>
      </c>
      <c r="T9" s="787" t="s">
        <v>520</v>
      </c>
      <c r="U9" s="803" t="s">
        <v>1368</v>
      </c>
      <c r="V9" s="789" t="s">
        <v>1310</v>
      </c>
      <c r="W9" s="790" t="s">
        <v>1281</v>
      </c>
      <c r="X9" s="791">
        <v>0.15</v>
      </c>
      <c r="Y9" s="271"/>
      <c r="Z9" s="254"/>
      <c r="AA9" s="271"/>
      <c r="AB9" s="271"/>
      <c r="AC9" s="271"/>
      <c r="AD9" s="271"/>
      <c r="AE9" s="30"/>
      <c r="AF9" s="30"/>
      <c r="AG9" s="30"/>
      <c r="AH9" s="796" t="s">
        <v>1369</v>
      </c>
      <c r="AI9" t="s">
        <v>1370</v>
      </c>
      <c r="AJ9" t="str">
        <f t="shared" si="0"/>
        <v>O1101 Tributarios</v>
      </c>
      <c r="AO9" s="796">
        <v>41101</v>
      </c>
      <c r="AP9" t="s">
        <v>1370</v>
      </c>
      <c r="AQ9" t="str">
        <f t="shared" si="1"/>
        <v>41101 Tributarios</v>
      </c>
      <c r="AV9" s="793" t="s">
        <v>1449</v>
      </c>
      <c r="AW9" s="793" t="s">
        <v>1449</v>
      </c>
    </row>
    <row r="10" spans="1:49" ht="58.5" customHeight="1" x14ac:dyDescent="0.3">
      <c r="A10" s="30"/>
      <c r="B10" s="30">
        <v>12104</v>
      </c>
      <c r="C10" s="30" t="s">
        <v>320</v>
      </c>
      <c r="D10" s="30" t="s">
        <v>535</v>
      </c>
      <c r="E10" s="30"/>
      <c r="F10" s="775" t="s">
        <v>536</v>
      </c>
      <c r="G10" s="30" t="s">
        <v>513</v>
      </c>
      <c r="H10" s="30" t="s">
        <v>496</v>
      </c>
      <c r="I10" s="797" t="s">
        <v>1351</v>
      </c>
      <c r="J10" s="30" t="s">
        <v>494</v>
      </c>
      <c r="K10" s="30"/>
      <c r="L10" s="802">
        <v>12</v>
      </c>
      <c r="M10" s="800" t="s">
        <v>166</v>
      </c>
      <c r="N10" s="784">
        <v>0.25</v>
      </c>
      <c r="O10" s="798">
        <v>11</v>
      </c>
      <c r="P10" s="800" t="s">
        <v>166</v>
      </c>
      <c r="Q10" s="784">
        <v>0.25</v>
      </c>
      <c r="R10" s="30"/>
      <c r="S10" s="786" t="s">
        <v>1371</v>
      </c>
      <c r="T10" s="787" t="s">
        <v>527</v>
      </c>
      <c r="U10" s="799" t="s">
        <v>1372</v>
      </c>
      <c r="V10" s="789" t="s">
        <v>1373</v>
      </c>
      <c r="W10" s="790" t="s">
        <v>1374</v>
      </c>
      <c r="X10" s="791">
        <v>0.15</v>
      </c>
      <c r="Y10" s="271"/>
      <c r="Z10" s="254"/>
      <c r="AA10" s="271"/>
      <c r="AB10" s="271"/>
      <c r="AC10" s="271"/>
      <c r="AD10" s="271"/>
      <c r="AE10" s="30"/>
      <c r="AF10" s="30"/>
      <c r="AG10" s="30"/>
      <c r="AH10" s="796" t="s">
        <v>1375</v>
      </c>
      <c r="AI10" t="s">
        <v>1376</v>
      </c>
      <c r="AJ10" t="str">
        <f t="shared" si="0"/>
        <v>O1102 No Tributarios</v>
      </c>
      <c r="AO10" s="796">
        <v>41102</v>
      </c>
      <c r="AP10" t="s">
        <v>1376</v>
      </c>
      <c r="AQ10" t="str">
        <f t="shared" si="1"/>
        <v>41102 No Tributarios</v>
      </c>
    </row>
    <row r="11" spans="1:49" ht="48.75" customHeight="1" x14ac:dyDescent="0.3">
      <c r="A11" s="30"/>
      <c r="B11" s="30">
        <v>12105</v>
      </c>
      <c r="C11" s="30" t="s">
        <v>322</v>
      </c>
      <c r="D11" s="30" t="s">
        <v>539</v>
      </c>
      <c r="E11" s="30"/>
      <c r="F11" s="775" t="s">
        <v>540</v>
      </c>
      <c r="G11" s="30" t="s">
        <v>513</v>
      </c>
      <c r="H11" s="30" t="s">
        <v>541</v>
      </c>
      <c r="I11" s="797"/>
      <c r="J11" s="30" t="s">
        <v>494</v>
      </c>
      <c r="K11" s="30"/>
      <c r="L11" s="782">
        <v>13</v>
      </c>
      <c r="M11" s="800" t="s">
        <v>166</v>
      </c>
      <c r="N11" s="784">
        <v>0.25</v>
      </c>
      <c r="O11" s="785">
        <v>12</v>
      </c>
      <c r="P11" s="783" t="s">
        <v>167</v>
      </c>
      <c r="Q11" s="783">
        <v>0.2</v>
      </c>
      <c r="R11" s="30"/>
      <c r="S11" s="786" t="s">
        <v>1270</v>
      </c>
      <c r="U11" s="799" t="s">
        <v>1377</v>
      </c>
      <c r="V11" s="789" t="s">
        <v>1378</v>
      </c>
      <c r="W11" s="790" t="s">
        <v>1379</v>
      </c>
      <c r="X11" s="791">
        <v>0.15</v>
      </c>
      <c r="Y11" s="271"/>
      <c r="Z11" s="254"/>
      <c r="AA11" s="271"/>
      <c r="AB11" s="271"/>
      <c r="AC11" s="271"/>
      <c r="AD11" s="271"/>
      <c r="AE11" s="30"/>
      <c r="AF11" s="30"/>
      <c r="AG11" s="30"/>
      <c r="AH11" s="795" t="s">
        <v>1380</v>
      </c>
      <c r="AI11" s="792" t="s">
        <v>1381</v>
      </c>
      <c r="AJ11" t="str">
        <f t="shared" si="0"/>
        <v>O12 RECURSOS DE CAPITAL</v>
      </c>
      <c r="AL11" s="796"/>
      <c r="AM11" s="792"/>
      <c r="AO11" s="795">
        <v>412</v>
      </c>
      <c r="AP11" s="792" t="s">
        <v>1381</v>
      </c>
      <c r="AQ11" t="str">
        <f t="shared" si="1"/>
        <v>412 RECURSOS DE CAPITAL</v>
      </c>
    </row>
    <row r="12" spans="1:49" ht="43.5" customHeight="1" x14ac:dyDescent="0.3">
      <c r="A12" s="30"/>
      <c r="B12" s="30">
        <v>12106</v>
      </c>
      <c r="C12" s="30" t="s">
        <v>324</v>
      </c>
      <c r="D12" s="30" t="s">
        <v>545</v>
      </c>
      <c r="E12" s="30"/>
      <c r="F12" s="775" t="s">
        <v>546</v>
      </c>
      <c r="G12" s="30" t="s">
        <v>513</v>
      </c>
      <c r="H12" s="30" t="s">
        <v>547</v>
      </c>
      <c r="I12" s="797" t="s">
        <v>1351</v>
      </c>
      <c r="J12" s="30" t="s">
        <v>494</v>
      </c>
      <c r="K12" s="30"/>
      <c r="L12" s="802">
        <v>14</v>
      </c>
      <c r="M12" s="800" t="s">
        <v>166</v>
      </c>
      <c r="N12" s="784">
        <v>0.25</v>
      </c>
      <c r="O12" s="798">
        <v>13</v>
      </c>
      <c r="P12" s="783" t="s">
        <v>167</v>
      </c>
      <c r="Q12" s="783">
        <v>0.2</v>
      </c>
      <c r="R12" s="30"/>
      <c r="S12" s="786" t="s">
        <v>1382</v>
      </c>
      <c r="T12" s="787"/>
      <c r="U12" s="804" t="s">
        <v>1383</v>
      </c>
      <c r="V12" s="30"/>
      <c r="W12" s="790" t="s">
        <v>1384</v>
      </c>
      <c r="X12" s="271"/>
      <c r="Y12" s="271"/>
      <c r="Z12" s="254"/>
      <c r="AA12" s="271"/>
      <c r="AB12" s="271"/>
      <c r="AC12" s="271"/>
      <c r="AD12" s="271"/>
      <c r="AE12" s="30"/>
      <c r="AF12" s="30"/>
      <c r="AG12" s="30"/>
      <c r="AH12" t="s">
        <v>1385</v>
      </c>
      <c r="AI12" t="s">
        <v>1386</v>
      </c>
      <c r="AJ12" t="str">
        <f t="shared" si="0"/>
        <v>O1201 Disposición de activos</v>
      </c>
      <c r="AL12" s="796"/>
      <c r="AO12" s="796">
        <v>41201</v>
      </c>
      <c r="AP12" t="s">
        <v>1386</v>
      </c>
      <c r="AQ12" t="str">
        <f t="shared" si="1"/>
        <v>41201 Disposición de activos</v>
      </c>
      <c r="AV12" t="s">
        <v>1659</v>
      </c>
      <c r="AW12" t="s">
        <v>1639</v>
      </c>
    </row>
    <row r="13" spans="1:49" ht="40.5" customHeight="1" x14ac:dyDescent="0.3">
      <c r="A13" s="30"/>
      <c r="B13" s="30">
        <v>12107</v>
      </c>
      <c r="C13" s="30" t="s">
        <v>326</v>
      </c>
      <c r="D13" s="30" t="s">
        <v>548</v>
      </c>
      <c r="E13" s="30"/>
      <c r="F13" s="775" t="s">
        <v>549</v>
      </c>
      <c r="G13" s="30" t="s">
        <v>513</v>
      </c>
      <c r="H13" s="30" t="s">
        <v>550</v>
      </c>
      <c r="I13" s="797"/>
      <c r="J13" s="30" t="s">
        <v>494</v>
      </c>
      <c r="K13" s="30"/>
      <c r="L13" s="782">
        <v>15</v>
      </c>
      <c r="M13" s="783" t="s">
        <v>167</v>
      </c>
      <c r="N13" s="783">
        <v>0.2</v>
      </c>
      <c r="O13" s="785">
        <v>14</v>
      </c>
      <c r="P13" s="783" t="s">
        <v>167</v>
      </c>
      <c r="Q13" s="783">
        <v>0.2</v>
      </c>
      <c r="R13" s="30"/>
      <c r="S13" s="786" t="s">
        <v>1287</v>
      </c>
      <c r="U13" s="804" t="s">
        <v>1387</v>
      </c>
      <c r="V13" s="30"/>
      <c r="W13" s="790" t="s">
        <v>1388</v>
      </c>
      <c r="X13" s="271"/>
      <c r="Y13" s="271"/>
      <c r="Z13" s="254"/>
      <c r="AA13" s="271"/>
      <c r="AB13" s="271"/>
      <c r="AC13" s="271"/>
      <c r="AD13" s="271"/>
      <c r="AE13" s="30"/>
      <c r="AF13" s="30"/>
      <c r="AG13" s="30"/>
      <c r="AH13" t="s">
        <v>1389</v>
      </c>
      <c r="AI13" t="s">
        <v>1390</v>
      </c>
      <c r="AJ13" t="str">
        <f t="shared" si="0"/>
        <v>O1202 Excedentes financieros</v>
      </c>
      <c r="AL13" s="796"/>
      <c r="AO13" s="796">
        <v>41202</v>
      </c>
      <c r="AP13" t="s">
        <v>1390</v>
      </c>
      <c r="AQ13" t="str">
        <f t="shared" si="1"/>
        <v>41202 Excedentes financieros</v>
      </c>
      <c r="AW13" t="s">
        <v>1640</v>
      </c>
    </row>
    <row r="14" spans="1:49" ht="46.5" customHeight="1" x14ac:dyDescent="0.3">
      <c r="A14" s="30"/>
      <c r="B14" s="30">
        <v>12108</v>
      </c>
      <c r="C14" s="30" t="s">
        <v>328</v>
      </c>
      <c r="D14" s="30" t="s">
        <v>551</v>
      </c>
      <c r="E14" s="30"/>
      <c r="F14" s="1586" t="s">
        <v>552</v>
      </c>
      <c r="G14" s="30" t="s">
        <v>513</v>
      </c>
      <c r="H14" s="30" t="s">
        <v>483</v>
      </c>
      <c r="I14" s="797"/>
      <c r="J14" s="30" t="s">
        <v>494</v>
      </c>
      <c r="K14" s="30"/>
      <c r="L14" s="802">
        <v>16</v>
      </c>
      <c r="M14" s="783" t="s">
        <v>167</v>
      </c>
      <c r="N14" s="783">
        <v>0.2</v>
      </c>
      <c r="O14" s="798">
        <v>15</v>
      </c>
      <c r="P14" s="783" t="s">
        <v>167</v>
      </c>
      <c r="Q14" s="783">
        <v>0.2</v>
      </c>
      <c r="R14" s="30"/>
      <c r="S14" s="786" t="s">
        <v>1391</v>
      </c>
      <c r="U14" s="804" t="s">
        <v>1392</v>
      </c>
      <c r="V14" s="30"/>
      <c r="W14" s="790"/>
      <c r="X14" s="271"/>
      <c r="Y14" s="271"/>
      <c r="Z14" s="254"/>
      <c r="AA14" s="271"/>
      <c r="AB14" s="271"/>
      <c r="AC14" s="271"/>
      <c r="AD14" s="271"/>
      <c r="AE14" s="30"/>
      <c r="AF14" s="30"/>
      <c r="AG14" s="30"/>
      <c r="AH14" t="s">
        <v>1393</v>
      </c>
      <c r="AI14" t="s">
        <v>1394</v>
      </c>
      <c r="AJ14" t="str">
        <f t="shared" si="0"/>
        <v>O1203 Dividendos y utilidades por otras Inversiones de CAPITAL</v>
      </c>
      <c r="AL14" s="796"/>
      <c r="AO14" s="796">
        <v>41203</v>
      </c>
      <c r="AP14" t="s">
        <v>1394</v>
      </c>
      <c r="AQ14" t="str">
        <f t="shared" si="1"/>
        <v>41203 Dividendos y utilidades por otras Inversiones de CAPITAL</v>
      </c>
    </row>
    <row r="15" spans="1:49" ht="46.5" customHeight="1" x14ac:dyDescent="0.3">
      <c r="A15" s="30"/>
      <c r="B15" s="30">
        <v>12109</v>
      </c>
      <c r="C15" s="30" t="s">
        <v>330</v>
      </c>
      <c r="D15" s="30" t="s">
        <v>553</v>
      </c>
      <c r="E15" s="30"/>
      <c r="F15" s="1586" t="s">
        <v>597</v>
      </c>
      <c r="G15" s="30" t="s">
        <v>513</v>
      </c>
      <c r="H15" s="30" t="s">
        <v>483</v>
      </c>
      <c r="I15" s="797"/>
      <c r="J15" s="30" t="s">
        <v>494</v>
      </c>
      <c r="K15" s="30"/>
      <c r="L15" s="782">
        <v>17</v>
      </c>
      <c r="M15" s="783" t="s">
        <v>167</v>
      </c>
      <c r="N15" s="783">
        <v>0.2</v>
      </c>
      <c r="O15" s="785">
        <v>16</v>
      </c>
      <c r="P15" s="783" t="s">
        <v>167</v>
      </c>
      <c r="Q15" s="783">
        <v>0.2</v>
      </c>
      <c r="R15" s="30"/>
      <c r="S15" s="786" t="s">
        <v>1395</v>
      </c>
      <c r="U15" s="804" t="s">
        <v>1396</v>
      </c>
      <c r="V15" s="30"/>
      <c r="W15" s="30"/>
      <c r="X15" s="30"/>
      <c r="Y15" s="30"/>
      <c r="Z15" s="30"/>
      <c r="AA15" s="30"/>
      <c r="AB15" s="30"/>
      <c r="AC15" s="30"/>
      <c r="AD15" s="30"/>
      <c r="AE15" s="30"/>
      <c r="AF15" s="30"/>
      <c r="AG15" s="30"/>
      <c r="AH15" t="s">
        <v>1397</v>
      </c>
      <c r="AI15" t="s">
        <v>1398</v>
      </c>
      <c r="AJ15" t="str">
        <f t="shared" si="0"/>
        <v>O1205 Rendimientos financieros</v>
      </c>
      <c r="AL15" s="796"/>
      <c r="AO15" s="796">
        <v>41205</v>
      </c>
      <c r="AP15" t="s">
        <v>1398</v>
      </c>
      <c r="AQ15" t="str">
        <f t="shared" si="1"/>
        <v>41205 Rendimientos financieros</v>
      </c>
      <c r="AV15" t="s">
        <v>1662</v>
      </c>
      <c r="AW15" t="s">
        <v>1672</v>
      </c>
    </row>
    <row r="16" spans="1:49" ht="38.25" customHeight="1" x14ac:dyDescent="0.3">
      <c r="A16" s="30"/>
      <c r="B16" s="30">
        <v>12110</v>
      </c>
      <c r="C16" s="30" t="s">
        <v>332</v>
      </c>
      <c r="D16" s="30" t="s">
        <v>498</v>
      </c>
      <c r="E16" s="30"/>
      <c r="F16" s="775" t="s">
        <v>554</v>
      </c>
      <c r="G16" s="30" t="s">
        <v>513</v>
      </c>
      <c r="H16" s="30" t="s">
        <v>555</v>
      </c>
      <c r="I16" s="1583" t="s">
        <v>1351</v>
      </c>
      <c r="J16" s="30" t="s">
        <v>494</v>
      </c>
      <c r="K16" s="30"/>
      <c r="L16" s="802">
        <v>18</v>
      </c>
      <c r="M16" s="783" t="s">
        <v>167</v>
      </c>
      <c r="N16" s="783">
        <v>0.2</v>
      </c>
      <c r="O16" s="30"/>
      <c r="P16" s="30"/>
      <c r="Q16" s="30"/>
      <c r="R16" s="30"/>
      <c r="S16" s="786" t="s">
        <v>1399</v>
      </c>
      <c r="U16" s="804" t="s">
        <v>1400</v>
      </c>
      <c r="V16" s="30"/>
      <c r="W16" s="30"/>
      <c r="X16" s="30"/>
      <c r="Y16" s="30"/>
      <c r="Z16" s="30"/>
      <c r="AA16" s="30"/>
      <c r="AB16" s="30"/>
      <c r="AC16" s="30"/>
      <c r="AD16" s="30"/>
      <c r="AE16" s="30"/>
      <c r="AF16" s="30"/>
      <c r="AG16" s="30"/>
      <c r="AH16" t="s">
        <v>1401</v>
      </c>
      <c r="AI16" t="s">
        <v>1402</v>
      </c>
      <c r="AJ16" t="str">
        <f t="shared" si="0"/>
        <v>O1206 RECURSOS de crédito externo</v>
      </c>
      <c r="AL16" s="796"/>
      <c r="AO16" s="796">
        <v>41206</v>
      </c>
      <c r="AP16" t="s">
        <v>1402</v>
      </c>
      <c r="AQ16" t="str">
        <f t="shared" si="1"/>
        <v>41206 RECURSOS de crédito externo</v>
      </c>
      <c r="AW16" t="s">
        <v>1673</v>
      </c>
    </row>
    <row r="17" spans="1:49" ht="28.5" customHeight="1" x14ac:dyDescent="0.3">
      <c r="A17" s="30"/>
      <c r="B17" s="30">
        <v>12111</v>
      </c>
      <c r="C17" s="30" t="s">
        <v>334</v>
      </c>
      <c r="D17" s="30" t="s">
        <v>532</v>
      </c>
      <c r="E17" s="30"/>
      <c r="F17" s="775" t="s">
        <v>556</v>
      </c>
      <c r="G17" s="30" t="s">
        <v>513</v>
      </c>
      <c r="H17" s="30" t="s">
        <v>557</v>
      </c>
      <c r="I17" s="797" t="s">
        <v>1351</v>
      </c>
      <c r="J17" s="30" t="s">
        <v>494</v>
      </c>
      <c r="K17" s="30"/>
      <c r="L17" s="782">
        <v>19</v>
      </c>
      <c r="M17" s="783" t="s">
        <v>167</v>
      </c>
      <c r="N17" s="783">
        <v>0.2</v>
      </c>
      <c r="O17" s="30"/>
      <c r="P17" s="30"/>
      <c r="Q17" s="30"/>
      <c r="R17" s="30"/>
      <c r="S17" s="786" t="s">
        <v>1275</v>
      </c>
      <c r="U17" s="804" t="s">
        <v>1403</v>
      </c>
      <c r="V17" s="30"/>
      <c r="W17" s="30"/>
      <c r="X17" s="30"/>
      <c r="Y17" s="30"/>
      <c r="Z17" s="30"/>
      <c r="AA17" s="30"/>
      <c r="AB17" s="30"/>
      <c r="AC17" s="30"/>
      <c r="AD17" s="30"/>
      <c r="AE17" s="30"/>
      <c r="AF17" s="30"/>
      <c r="AG17" s="30"/>
      <c r="AH17" t="s">
        <v>1404</v>
      </c>
      <c r="AI17" t="s">
        <v>1405</v>
      </c>
      <c r="AJ17" t="str">
        <f t="shared" si="0"/>
        <v>O1207 RECURSOS de crédito interno</v>
      </c>
      <c r="AL17" s="796"/>
      <c r="AO17" s="796">
        <v>41207</v>
      </c>
      <c r="AP17" t="s">
        <v>1405</v>
      </c>
      <c r="AQ17" t="str">
        <f t="shared" si="1"/>
        <v>41207 RECURSOS de crédito interno</v>
      </c>
      <c r="AW17" t="s">
        <v>1674</v>
      </c>
    </row>
    <row r="18" spans="1:49" ht="26.25" customHeight="1" x14ac:dyDescent="0.3">
      <c r="A18" s="30"/>
      <c r="B18" s="30">
        <v>12112</v>
      </c>
      <c r="C18" s="30" t="s">
        <v>336</v>
      </c>
      <c r="D18" s="30" t="s">
        <v>560</v>
      </c>
      <c r="E18" s="30"/>
      <c r="F18" s="775" t="s">
        <v>558</v>
      </c>
      <c r="G18" s="30" t="s">
        <v>513</v>
      </c>
      <c r="H18" s="30" t="s">
        <v>559</v>
      </c>
      <c r="I18" s="797" t="s">
        <v>1351</v>
      </c>
      <c r="J18" s="30" t="s">
        <v>494</v>
      </c>
      <c r="K18" s="30"/>
      <c r="L18" s="802">
        <v>20</v>
      </c>
      <c r="M18" s="783" t="s">
        <v>167</v>
      </c>
      <c r="N18" s="783">
        <v>0.2</v>
      </c>
      <c r="O18" s="30"/>
      <c r="P18" s="30"/>
      <c r="Q18" s="30"/>
      <c r="R18" s="30"/>
      <c r="S18" s="786" t="s">
        <v>1406</v>
      </c>
      <c r="T18" s="460"/>
      <c r="U18" s="804" t="s">
        <v>1407</v>
      </c>
      <c r="V18" s="30"/>
      <c r="W18" s="30"/>
      <c r="X18" s="30"/>
      <c r="Y18" s="30"/>
      <c r="Z18" s="30"/>
      <c r="AA18" s="30"/>
      <c r="AB18" s="30"/>
      <c r="AC18" s="30"/>
      <c r="AD18" s="30"/>
      <c r="AE18" s="30"/>
      <c r="AF18" s="30"/>
      <c r="AG18" s="30"/>
      <c r="AH18" t="s">
        <v>1408</v>
      </c>
      <c r="AI18" t="s">
        <v>1409</v>
      </c>
      <c r="AJ18" t="str">
        <f t="shared" si="0"/>
        <v>O1208 Transferencias de CAPITAL</v>
      </c>
      <c r="AL18" s="796"/>
      <c r="AO18" s="796">
        <v>41208</v>
      </c>
      <c r="AP18" t="s">
        <v>1409</v>
      </c>
      <c r="AQ18" t="str">
        <f t="shared" si="1"/>
        <v>41208 Transferencias de CAPITAL</v>
      </c>
      <c r="AW18" t="s">
        <v>1675</v>
      </c>
    </row>
    <row r="19" spans="1:49" ht="26.25" customHeight="1" x14ac:dyDescent="0.3">
      <c r="A19" s="30"/>
      <c r="B19" s="30">
        <v>12113</v>
      </c>
      <c r="C19" s="30" t="s">
        <v>338</v>
      </c>
      <c r="D19" s="30" t="s">
        <v>562</v>
      </c>
      <c r="E19" s="30"/>
      <c r="F19" s="775" t="s">
        <v>561</v>
      </c>
      <c r="G19" s="30" t="s">
        <v>485</v>
      </c>
      <c r="H19" s="30" t="s">
        <v>560</v>
      </c>
      <c r="I19" s="797"/>
      <c r="J19" s="30" t="s">
        <v>494</v>
      </c>
      <c r="K19" s="30"/>
      <c r="L19" s="30"/>
      <c r="M19" s="30"/>
      <c r="N19" s="30"/>
      <c r="O19" s="30"/>
      <c r="P19" s="30"/>
      <c r="Q19" s="30"/>
      <c r="R19" s="30"/>
      <c r="S19" s="786" t="s">
        <v>1410</v>
      </c>
      <c r="T19" s="460"/>
      <c r="U19" s="804" t="s">
        <v>1411</v>
      </c>
      <c r="V19" s="30"/>
      <c r="W19" s="30"/>
      <c r="X19" s="30"/>
      <c r="Y19" s="30"/>
      <c r="Z19" s="30"/>
      <c r="AA19" s="30"/>
      <c r="AB19" s="30"/>
      <c r="AC19" s="30"/>
      <c r="AD19" s="30"/>
      <c r="AE19" s="30"/>
      <c r="AF19" s="30"/>
      <c r="AG19" s="30"/>
      <c r="AH19" s="805" t="s">
        <v>1412</v>
      </c>
      <c r="AI19" t="s">
        <v>1413</v>
      </c>
      <c r="AJ19" t="str">
        <f t="shared" si="0"/>
        <v>O1209 Recuperación de cartera</v>
      </c>
      <c r="AL19" s="795"/>
      <c r="AM19" s="792"/>
      <c r="AO19" s="806">
        <v>41209</v>
      </c>
      <c r="AP19" t="s">
        <v>1413</v>
      </c>
      <c r="AQ19" t="str">
        <f t="shared" si="1"/>
        <v>41209 Recuperación de cartera</v>
      </c>
      <c r="AW19" t="s">
        <v>1676</v>
      </c>
    </row>
    <row r="20" spans="1:49" ht="36.75" customHeight="1" x14ac:dyDescent="0.3">
      <c r="A20" s="30"/>
      <c r="B20" s="30">
        <v>12114</v>
      </c>
      <c r="C20" s="30" t="s">
        <v>340</v>
      </c>
      <c r="D20" s="30" t="s">
        <v>564</v>
      </c>
      <c r="E20" s="30"/>
      <c r="F20" s="775" t="s">
        <v>563</v>
      </c>
      <c r="G20" s="30" t="s">
        <v>513</v>
      </c>
      <c r="H20" s="30" t="s">
        <v>557</v>
      </c>
      <c r="I20" s="797" t="s">
        <v>1351</v>
      </c>
      <c r="J20" s="30" t="s">
        <v>494</v>
      </c>
      <c r="K20" s="30"/>
      <c r="L20" s="30"/>
      <c r="M20" s="30"/>
      <c r="N20" s="30"/>
      <c r="O20" s="30"/>
      <c r="P20" s="30"/>
      <c r="Q20" s="30"/>
      <c r="R20" s="30"/>
      <c r="S20" s="786" t="s">
        <v>1414</v>
      </c>
      <c r="T20" s="460"/>
      <c r="U20" s="804" t="s">
        <v>1415</v>
      </c>
      <c r="V20" s="30"/>
      <c r="W20" s="30"/>
      <c r="X20" s="30"/>
      <c r="Y20" s="30"/>
      <c r="Z20" s="30"/>
      <c r="AA20" s="30"/>
      <c r="AB20" s="30"/>
      <c r="AC20" s="30"/>
      <c r="AD20" s="30"/>
      <c r="AE20" s="30"/>
      <c r="AF20" s="30"/>
      <c r="AG20" s="30"/>
      <c r="AH20" t="s">
        <v>1416</v>
      </c>
      <c r="AI20" t="s">
        <v>1417</v>
      </c>
      <c r="AJ20" t="str">
        <f t="shared" si="0"/>
        <v>O1210 RECURSOS del balance</v>
      </c>
      <c r="AL20" s="796"/>
      <c r="AO20" s="796">
        <v>41210</v>
      </c>
      <c r="AP20" t="s">
        <v>1417</v>
      </c>
      <c r="AQ20" t="str">
        <f t="shared" si="1"/>
        <v>41210 RECURSOS del balance</v>
      </c>
    </row>
    <row r="21" spans="1:49" ht="26.4" x14ac:dyDescent="0.3">
      <c r="A21" s="30"/>
      <c r="B21" s="30">
        <v>12115</v>
      </c>
      <c r="C21" s="30" t="s">
        <v>342</v>
      </c>
      <c r="D21" s="30" t="s">
        <v>566</v>
      </c>
      <c r="E21" s="30"/>
      <c r="F21" s="775" t="s">
        <v>565</v>
      </c>
      <c r="G21" s="30" t="s">
        <v>513</v>
      </c>
      <c r="H21" s="30" t="s">
        <v>511</v>
      </c>
      <c r="I21" s="797" t="s">
        <v>1351</v>
      </c>
      <c r="J21" s="30" t="s">
        <v>494</v>
      </c>
      <c r="K21" s="30"/>
      <c r="L21" s="30"/>
      <c r="M21" s="30"/>
      <c r="N21" s="30"/>
      <c r="O21" s="30"/>
      <c r="P21" s="30"/>
      <c r="Q21" s="30"/>
      <c r="R21" s="30"/>
      <c r="S21" s="786" t="s">
        <v>1418</v>
      </c>
      <c r="T21" s="460"/>
      <c r="U21" s="786" t="s">
        <v>1419</v>
      </c>
      <c r="V21" s="30"/>
      <c r="W21" s="30"/>
      <c r="X21" s="30"/>
      <c r="Y21" s="30"/>
      <c r="Z21" s="30"/>
      <c r="AA21" s="30"/>
      <c r="AB21" s="30"/>
      <c r="AC21" s="30"/>
      <c r="AD21" s="30"/>
      <c r="AE21" s="30"/>
      <c r="AF21" s="30"/>
      <c r="AG21" s="30"/>
      <c r="AH21" t="s">
        <v>1420</v>
      </c>
      <c r="AI21" t="s">
        <v>1421</v>
      </c>
      <c r="AJ21" t="str">
        <f t="shared" si="0"/>
        <v>O1211 Diferencial cambiario</v>
      </c>
      <c r="AL21" s="796"/>
      <c r="AO21" s="796">
        <v>41211</v>
      </c>
      <c r="AP21" t="s">
        <v>1421</v>
      </c>
      <c r="AQ21" t="str">
        <f t="shared" si="1"/>
        <v>41211 Diferencial cambiario</v>
      </c>
    </row>
    <row r="22" spans="1:49" ht="26.4" x14ac:dyDescent="0.3">
      <c r="A22" s="30"/>
      <c r="B22" s="30">
        <v>12116</v>
      </c>
      <c r="C22" s="30" t="s">
        <v>344</v>
      </c>
      <c r="D22" s="30" t="s">
        <v>569</v>
      </c>
      <c r="E22" s="30"/>
      <c r="F22" s="775" t="s">
        <v>567</v>
      </c>
      <c r="G22" s="30" t="s">
        <v>513</v>
      </c>
      <c r="H22" s="30" t="s">
        <v>568</v>
      </c>
      <c r="I22" s="797" t="s">
        <v>1351</v>
      </c>
      <c r="J22" s="30" t="s">
        <v>494</v>
      </c>
      <c r="K22" s="30"/>
      <c r="L22" s="30"/>
      <c r="M22" s="30"/>
      <c r="N22" s="30"/>
      <c r="O22" s="30"/>
      <c r="P22" s="30"/>
      <c r="Q22" s="30"/>
      <c r="R22" s="30"/>
      <c r="S22" s="786" t="s">
        <v>1252</v>
      </c>
      <c r="T22" s="460"/>
      <c r="U22" s="804" t="s">
        <v>1422</v>
      </c>
      <c r="V22" s="30"/>
      <c r="W22" s="30"/>
      <c r="X22" s="30"/>
      <c r="Y22" s="30"/>
      <c r="Z22" s="30"/>
      <c r="AA22" s="30"/>
      <c r="AB22" s="30"/>
      <c r="AC22" s="30"/>
      <c r="AD22" s="30"/>
      <c r="AE22" s="30"/>
      <c r="AF22" s="30"/>
      <c r="AG22" s="30"/>
      <c r="AH22" t="s">
        <v>1423</v>
      </c>
      <c r="AI22" t="s">
        <v>1424</v>
      </c>
      <c r="AJ22" t="str">
        <f t="shared" si="0"/>
        <v>O1212 Retiros FONPET</v>
      </c>
      <c r="AL22" s="796"/>
      <c r="AO22" s="796">
        <v>41212</v>
      </c>
      <c r="AP22" t="s">
        <v>1424</v>
      </c>
      <c r="AQ22" t="str">
        <f t="shared" si="1"/>
        <v>41212 Retiros FONPET</v>
      </c>
    </row>
    <row r="23" spans="1:49" ht="30.75" customHeight="1" x14ac:dyDescent="0.3">
      <c r="A23" s="30"/>
      <c r="B23" s="30">
        <v>12117</v>
      </c>
      <c r="C23" s="30" t="s">
        <v>346</v>
      </c>
      <c r="D23" s="30" t="s">
        <v>571</v>
      </c>
      <c r="E23" s="30"/>
      <c r="F23" s="775" t="s">
        <v>570</v>
      </c>
      <c r="G23" s="30" t="s">
        <v>513</v>
      </c>
      <c r="H23" s="30" t="s">
        <v>496</v>
      </c>
      <c r="I23" s="797" t="s">
        <v>1351</v>
      </c>
      <c r="J23" s="30" t="s">
        <v>494</v>
      </c>
      <c r="K23" s="30"/>
      <c r="L23" s="30"/>
      <c r="M23" s="30"/>
      <c r="N23" s="30"/>
      <c r="O23" s="30"/>
      <c r="P23" s="30"/>
      <c r="Q23" s="30"/>
      <c r="R23" s="30"/>
      <c r="S23" s="786" t="s">
        <v>1279</v>
      </c>
      <c r="T23" s="460"/>
      <c r="V23" s="30"/>
      <c r="W23" s="30"/>
      <c r="X23" s="30"/>
      <c r="Y23" s="30"/>
      <c r="Z23" s="30"/>
      <c r="AA23" s="30"/>
      <c r="AB23" s="30"/>
      <c r="AC23" s="30"/>
      <c r="AD23" s="30"/>
      <c r="AE23" s="30"/>
      <c r="AF23" s="30"/>
      <c r="AG23" s="30"/>
      <c r="AH23" t="s">
        <v>1425</v>
      </c>
      <c r="AI23" t="s">
        <v>1426</v>
      </c>
      <c r="AJ23" t="str">
        <f t="shared" si="0"/>
        <v>O1213 Reintegros y otros RECURSOS no apropiados</v>
      </c>
      <c r="AL23" s="796"/>
      <c r="AO23" s="796">
        <v>41213</v>
      </c>
      <c r="AP23" t="s">
        <v>1426</v>
      </c>
      <c r="AQ23" t="str">
        <f t="shared" si="1"/>
        <v>41213 Reintegros y otros RECURSOS no apropiados</v>
      </c>
    </row>
    <row r="24" spans="1:49" ht="26.4" x14ac:dyDescent="0.3">
      <c r="A24" s="30"/>
      <c r="B24" s="30">
        <v>12118</v>
      </c>
      <c r="C24" s="30" t="s">
        <v>348</v>
      </c>
      <c r="D24" s="30" t="s">
        <v>573</v>
      </c>
      <c r="E24" s="30"/>
      <c r="F24" s="775" t="s">
        <v>572</v>
      </c>
      <c r="G24" s="30" t="s">
        <v>513</v>
      </c>
      <c r="H24" s="30" t="s">
        <v>557</v>
      </c>
      <c r="I24" s="797" t="s">
        <v>1351</v>
      </c>
      <c r="J24" s="30" t="s">
        <v>494</v>
      </c>
      <c r="K24" s="30"/>
      <c r="L24" s="30"/>
      <c r="M24" s="30"/>
      <c r="N24" s="30"/>
      <c r="O24" s="30"/>
      <c r="P24" s="30"/>
      <c r="Q24" s="30"/>
      <c r="R24" s="30"/>
      <c r="S24" s="786" t="s">
        <v>1264</v>
      </c>
      <c r="T24" s="460"/>
      <c r="U24" s="804"/>
      <c r="V24" s="30"/>
      <c r="W24" s="30"/>
      <c r="X24" s="30"/>
      <c r="Y24" s="30"/>
      <c r="Z24" s="30"/>
      <c r="AA24" s="30"/>
      <c r="AB24" s="30"/>
      <c r="AC24" s="30"/>
      <c r="AD24" s="30"/>
      <c r="AE24" s="30"/>
      <c r="AF24" s="30"/>
      <c r="AG24" s="30"/>
      <c r="AH24" s="795" t="s">
        <v>1427</v>
      </c>
      <c r="AI24" s="792" t="s">
        <v>1428</v>
      </c>
      <c r="AJ24" t="str">
        <f t="shared" si="0"/>
        <v>O122 Transferencias</v>
      </c>
      <c r="AL24" s="796"/>
      <c r="AO24" s="795">
        <v>4122</v>
      </c>
      <c r="AP24" s="792" t="s">
        <v>1428</v>
      </c>
      <c r="AQ24" t="str">
        <f t="shared" si="1"/>
        <v>4122 Transferencias</v>
      </c>
    </row>
    <row r="25" spans="1:49" ht="26.4" x14ac:dyDescent="0.3">
      <c r="A25" s="30"/>
      <c r="B25" s="30">
        <v>12119</v>
      </c>
      <c r="C25" s="30" t="s">
        <v>350</v>
      </c>
      <c r="D25" s="30" t="s">
        <v>575</v>
      </c>
      <c r="E25" s="30"/>
      <c r="F25" s="775" t="s">
        <v>574</v>
      </c>
      <c r="G25" s="30" t="s">
        <v>513</v>
      </c>
      <c r="H25" s="30" t="s">
        <v>496</v>
      </c>
      <c r="I25" s="797" t="s">
        <v>1351</v>
      </c>
      <c r="J25" s="30" t="s">
        <v>494</v>
      </c>
      <c r="K25" s="30"/>
      <c r="L25" s="30"/>
      <c r="M25" s="30"/>
      <c r="N25" s="30"/>
      <c r="O25" s="30"/>
      <c r="P25" s="30"/>
      <c r="Q25" s="30"/>
      <c r="R25" s="30"/>
      <c r="S25" s="786" t="s">
        <v>1635</v>
      </c>
      <c r="U25" s="804"/>
      <c r="V25" s="30"/>
      <c r="W25" s="30"/>
      <c r="X25" s="30"/>
      <c r="Y25" s="30"/>
      <c r="Z25" s="30"/>
      <c r="AA25" s="30"/>
      <c r="AB25" s="30"/>
      <c r="AC25" s="30"/>
      <c r="AD25" s="30"/>
      <c r="AE25" s="30"/>
      <c r="AF25" s="30"/>
      <c r="AG25" s="30"/>
      <c r="AH25" s="796" t="s">
        <v>1429</v>
      </c>
      <c r="AI25" t="s">
        <v>1430</v>
      </c>
      <c r="AJ25" t="str">
        <f t="shared" si="0"/>
        <v>O12201 Transferencias corrientes nacionales</v>
      </c>
      <c r="AL25" s="796"/>
      <c r="AO25" s="796">
        <v>412201</v>
      </c>
      <c r="AP25" t="s">
        <v>1430</v>
      </c>
      <c r="AQ25" t="str">
        <f t="shared" si="1"/>
        <v>412201 Transferencias corrientes nacionales</v>
      </c>
    </row>
    <row r="26" spans="1:49" ht="26.4" x14ac:dyDescent="0.3">
      <c r="A26" s="30"/>
      <c r="B26" s="30">
        <v>12120</v>
      </c>
      <c r="C26" s="30" t="s">
        <v>352</v>
      </c>
      <c r="D26" s="30" t="s">
        <v>577</v>
      </c>
      <c r="E26" s="30"/>
      <c r="F26" s="775" t="s">
        <v>576</v>
      </c>
      <c r="G26" s="30" t="s">
        <v>485</v>
      </c>
      <c r="H26" s="30" t="s">
        <v>562</v>
      </c>
      <c r="I26" s="797"/>
      <c r="J26" s="30" t="s">
        <v>494</v>
      </c>
      <c r="K26" s="30"/>
      <c r="L26" s="30"/>
      <c r="M26" s="30"/>
      <c r="N26" s="30"/>
      <c r="O26" s="30"/>
      <c r="P26" s="30"/>
      <c r="Q26" s="30"/>
      <c r="R26" s="30"/>
      <c r="S26" s="786" t="s">
        <v>1636</v>
      </c>
      <c r="U26" s="804"/>
      <c r="V26" s="30"/>
      <c r="W26" s="30"/>
      <c r="X26" s="30"/>
      <c r="Y26" s="30"/>
      <c r="Z26" s="30"/>
      <c r="AA26" s="30"/>
      <c r="AB26" s="30"/>
      <c r="AC26" s="30"/>
      <c r="AD26" s="30"/>
      <c r="AE26" s="30"/>
      <c r="AF26" s="30"/>
      <c r="AG26" s="30"/>
      <c r="AH26" s="796" t="s">
        <v>1431</v>
      </c>
      <c r="AI26" t="s">
        <v>1432</v>
      </c>
      <c r="AJ26" t="str">
        <f t="shared" si="0"/>
        <v>O12202 Departamentales</v>
      </c>
      <c r="AL26" s="796"/>
      <c r="AO26" s="796">
        <v>412202</v>
      </c>
      <c r="AP26" t="s">
        <v>1432</v>
      </c>
      <c r="AQ26" t="str">
        <f t="shared" si="1"/>
        <v>412202 Departamentales</v>
      </c>
    </row>
    <row r="27" spans="1:49" x14ac:dyDescent="0.3">
      <c r="A27" s="30"/>
      <c r="B27" s="30">
        <v>130000</v>
      </c>
      <c r="C27" s="30" t="s">
        <v>354</v>
      </c>
      <c r="D27" s="30" t="s">
        <v>557</v>
      </c>
      <c r="E27" s="30"/>
      <c r="F27" s="775" t="s">
        <v>578</v>
      </c>
      <c r="G27" s="30" t="s">
        <v>579</v>
      </c>
      <c r="H27" s="30" t="s">
        <v>580</v>
      </c>
      <c r="I27" s="797" t="s">
        <v>144</v>
      </c>
      <c r="J27" s="30" t="s">
        <v>494</v>
      </c>
      <c r="K27" s="30"/>
      <c r="L27" s="30"/>
      <c r="M27" s="30"/>
      <c r="N27" s="30"/>
      <c r="O27" s="30"/>
      <c r="P27" s="30"/>
      <c r="Q27" s="30"/>
      <c r="R27" s="30"/>
      <c r="T27" s="460"/>
      <c r="U27" s="804"/>
      <c r="V27" s="30"/>
      <c r="W27" s="30"/>
      <c r="X27" s="30"/>
      <c r="Y27" s="30"/>
      <c r="Z27" s="30"/>
      <c r="AA27" s="30"/>
      <c r="AB27" s="30"/>
      <c r="AC27" s="30"/>
      <c r="AD27" s="30"/>
      <c r="AE27" s="30"/>
      <c r="AF27" s="30"/>
      <c r="AG27" s="30"/>
      <c r="AH27" s="796" t="s">
        <v>1433</v>
      </c>
      <c r="AI27" t="s">
        <v>1434</v>
      </c>
      <c r="AJ27" t="str">
        <f t="shared" si="0"/>
        <v>O12203 Distritales</v>
      </c>
      <c r="AL27" s="796"/>
      <c r="AO27" s="796">
        <v>412203</v>
      </c>
      <c r="AP27" t="s">
        <v>1434</v>
      </c>
      <c r="AQ27" t="str">
        <f t="shared" si="1"/>
        <v>412203 Distritales</v>
      </c>
    </row>
    <row r="28" spans="1:49" x14ac:dyDescent="0.3">
      <c r="A28" s="30"/>
      <c r="B28" s="30">
        <v>140000</v>
      </c>
      <c r="C28" s="30" t="s">
        <v>356</v>
      </c>
      <c r="D28" s="30" t="s">
        <v>547</v>
      </c>
      <c r="E28" s="30"/>
      <c r="F28" s="775" t="s">
        <v>581</v>
      </c>
      <c r="G28" s="30" t="s">
        <v>513</v>
      </c>
      <c r="H28" s="30" t="s">
        <v>582</v>
      </c>
      <c r="I28" s="797"/>
      <c r="J28" s="30" t="s">
        <v>494</v>
      </c>
      <c r="K28" s="30"/>
      <c r="L28" s="30"/>
      <c r="M28" s="30"/>
      <c r="N28" s="30"/>
      <c r="O28" s="30"/>
      <c r="P28" s="30"/>
      <c r="Q28" s="30"/>
      <c r="R28" s="30"/>
      <c r="T28" s="460"/>
      <c r="U28" s="804"/>
      <c r="V28" s="30"/>
      <c r="W28" s="30"/>
      <c r="X28" s="30"/>
      <c r="Y28" s="30"/>
      <c r="Z28" s="30"/>
      <c r="AA28" s="30"/>
      <c r="AB28" s="30"/>
      <c r="AC28" s="30"/>
      <c r="AD28" s="30"/>
      <c r="AE28" s="30"/>
      <c r="AF28" s="30"/>
      <c r="AG28" s="30"/>
      <c r="AH28" s="796" t="s">
        <v>1435</v>
      </c>
      <c r="AI28" t="s">
        <v>1436</v>
      </c>
      <c r="AJ28" t="str">
        <f t="shared" si="0"/>
        <v>O12204 Otras Transferencias</v>
      </c>
      <c r="AL28" s="796"/>
      <c r="AO28" s="796">
        <v>412204</v>
      </c>
      <c r="AP28" t="s">
        <v>1436</v>
      </c>
      <c r="AQ28" t="str">
        <f t="shared" si="1"/>
        <v>412204 Otras Transferencias</v>
      </c>
    </row>
    <row r="29" spans="1:49" x14ac:dyDescent="0.3">
      <c r="A29" s="30"/>
      <c r="B29" s="30">
        <v>150000</v>
      </c>
      <c r="C29" s="30" t="s">
        <v>358</v>
      </c>
      <c r="D29" s="30" t="s">
        <v>541</v>
      </c>
      <c r="E29" s="30"/>
      <c r="F29" s="775" t="s">
        <v>583</v>
      </c>
      <c r="G29" s="30" t="s">
        <v>513</v>
      </c>
      <c r="H29" s="30" t="s">
        <v>580</v>
      </c>
      <c r="I29" s="797" t="s">
        <v>144</v>
      </c>
      <c r="J29" s="30" t="s">
        <v>494</v>
      </c>
      <c r="K29" s="30"/>
      <c r="L29" s="30"/>
      <c r="M29" s="30"/>
      <c r="N29" s="30"/>
      <c r="O29" s="30"/>
      <c r="P29" s="30"/>
      <c r="Q29" s="30"/>
      <c r="R29" s="30"/>
      <c r="S29" s="257"/>
      <c r="T29" s="460"/>
      <c r="U29" s="807"/>
      <c r="V29" s="30"/>
      <c r="W29" s="30"/>
      <c r="X29" s="30"/>
      <c r="Y29" s="30"/>
      <c r="Z29" s="30"/>
      <c r="AA29" s="30"/>
      <c r="AB29" s="30"/>
      <c r="AC29" s="30"/>
      <c r="AD29" s="30"/>
      <c r="AE29" s="30"/>
      <c r="AF29" s="30"/>
      <c r="AG29" s="30"/>
      <c r="AH29" s="796" t="s">
        <v>1437</v>
      </c>
      <c r="AI29" t="s">
        <v>1438</v>
      </c>
      <c r="AJ29" t="str">
        <f t="shared" si="0"/>
        <v>O15 Transferencias Administración Central</v>
      </c>
      <c r="AL29" s="796"/>
      <c r="AO29" s="796">
        <v>415</v>
      </c>
      <c r="AP29" t="s">
        <v>1438</v>
      </c>
      <c r="AQ29" t="str">
        <f t="shared" si="1"/>
        <v>415 Transferencias Administración Central</v>
      </c>
    </row>
    <row r="30" spans="1:49" x14ac:dyDescent="0.3">
      <c r="A30" s="30"/>
      <c r="B30" s="30">
        <v>190000</v>
      </c>
      <c r="C30" s="30" t="s">
        <v>360</v>
      </c>
      <c r="D30" s="30" t="s">
        <v>555</v>
      </c>
      <c r="E30" s="30"/>
      <c r="F30" s="775" t="s">
        <v>584</v>
      </c>
      <c r="G30" s="30" t="s">
        <v>485</v>
      </c>
      <c r="H30" s="30" t="s">
        <v>564</v>
      </c>
      <c r="I30" s="797"/>
      <c r="J30" s="30" t="s">
        <v>494</v>
      </c>
      <c r="K30" s="30"/>
      <c r="L30" s="30"/>
      <c r="M30" s="30"/>
      <c r="N30" s="30"/>
      <c r="O30" s="30"/>
      <c r="P30" s="30"/>
      <c r="Q30" s="30"/>
      <c r="R30" s="30"/>
      <c r="S30" s="257"/>
      <c r="T30" s="460"/>
      <c r="U30" s="804"/>
      <c r="V30" s="30"/>
      <c r="W30" s="30"/>
      <c r="X30" s="30"/>
      <c r="Y30" s="30"/>
      <c r="Z30" s="30"/>
      <c r="AA30" s="30"/>
      <c r="AB30" s="30"/>
      <c r="AC30" s="30"/>
      <c r="AD30" s="30"/>
      <c r="AE30" s="30"/>
      <c r="AF30" s="30"/>
      <c r="AG30" s="30"/>
      <c r="AH30" s="796"/>
      <c r="AJ30" t="str">
        <f t="shared" si="0"/>
        <v xml:space="preserve"> </v>
      </c>
      <c r="AL30" s="796"/>
      <c r="AO30" s="796"/>
      <c r="AQ30" t="str">
        <f t="shared" si="1"/>
        <v xml:space="preserve"> </v>
      </c>
    </row>
    <row r="31" spans="1:49" ht="27" customHeight="1" x14ac:dyDescent="0.3">
      <c r="A31" s="30"/>
      <c r="B31" s="30">
        <v>200000</v>
      </c>
      <c r="C31" s="30" t="s">
        <v>362</v>
      </c>
      <c r="D31" s="30" t="s">
        <v>568</v>
      </c>
      <c r="E31" s="30"/>
      <c r="F31" s="775" t="s">
        <v>586</v>
      </c>
      <c r="G31" s="30" t="s">
        <v>485</v>
      </c>
      <c r="H31" s="30" t="s">
        <v>566</v>
      </c>
      <c r="I31" s="797"/>
      <c r="J31" s="30" t="s">
        <v>494</v>
      </c>
      <c r="K31" s="30"/>
      <c r="L31" s="30"/>
      <c r="M31" s="30"/>
      <c r="N31" s="30"/>
      <c r="O31" s="30"/>
      <c r="P31" s="30"/>
      <c r="Q31" s="30"/>
      <c r="R31" s="30"/>
      <c r="S31" s="257"/>
      <c r="T31" s="460"/>
      <c r="U31" s="804"/>
      <c r="V31" s="30"/>
      <c r="W31" s="30"/>
      <c r="X31" s="30"/>
      <c r="Y31" s="30"/>
      <c r="Z31" s="30"/>
      <c r="AA31" s="30"/>
      <c r="AB31" s="30"/>
      <c r="AC31" s="30"/>
      <c r="AD31" s="30"/>
      <c r="AE31" s="30"/>
      <c r="AF31" s="30"/>
      <c r="AG31" s="30"/>
      <c r="AH31" s="796"/>
      <c r="AJ31" t="str">
        <f t="shared" si="0"/>
        <v xml:space="preserve"> </v>
      </c>
      <c r="AO31" s="796"/>
      <c r="AQ31" t="str">
        <f t="shared" si="1"/>
        <v xml:space="preserve"> </v>
      </c>
    </row>
    <row r="32" spans="1:49" x14ac:dyDescent="0.3">
      <c r="A32" s="30"/>
      <c r="B32" s="30">
        <v>210000</v>
      </c>
      <c r="C32" s="30" t="s">
        <v>364</v>
      </c>
      <c r="D32" s="30" t="s">
        <v>119</v>
      </c>
      <c r="E32" s="30"/>
      <c r="F32" s="775" t="s">
        <v>588</v>
      </c>
      <c r="G32" s="30" t="s">
        <v>485</v>
      </c>
      <c r="H32" s="30" t="s">
        <v>569</v>
      </c>
      <c r="I32" s="797"/>
      <c r="J32" s="30" t="s">
        <v>494</v>
      </c>
      <c r="K32" s="30"/>
      <c r="L32" s="30"/>
      <c r="M32" s="30"/>
      <c r="N32" s="30"/>
      <c r="O32" s="30"/>
      <c r="P32" s="30"/>
      <c r="Q32" s="30"/>
      <c r="R32" s="30"/>
      <c r="S32" s="808"/>
      <c r="T32" s="460"/>
      <c r="U32" s="804"/>
      <c r="V32" s="30"/>
      <c r="W32" s="30"/>
      <c r="X32" s="30"/>
      <c r="Y32" s="30"/>
      <c r="Z32" s="30"/>
      <c r="AA32" s="30"/>
      <c r="AB32" s="30"/>
      <c r="AC32" s="30"/>
      <c r="AD32" s="30"/>
      <c r="AE32" s="30"/>
      <c r="AF32" s="30"/>
      <c r="AG32" s="30"/>
      <c r="AH32" s="792" t="s">
        <v>1439</v>
      </c>
      <c r="AI32" s="792"/>
      <c r="AJ32" t="str">
        <f t="shared" si="0"/>
        <v xml:space="preserve">CÓDIGO GASTOS </v>
      </c>
      <c r="AO32" s="792" t="s">
        <v>1439</v>
      </c>
      <c r="AP32" s="792"/>
      <c r="AQ32" t="str">
        <f t="shared" si="1"/>
        <v xml:space="preserve">CÓDIGO GASTOS </v>
      </c>
    </row>
    <row r="33" spans="1:43" x14ac:dyDescent="0.3">
      <c r="A33" s="30"/>
      <c r="B33" s="30">
        <v>220000</v>
      </c>
      <c r="C33" s="30" t="s">
        <v>366</v>
      </c>
      <c r="D33" s="30" t="s">
        <v>559</v>
      </c>
      <c r="E33" s="30"/>
      <c r="F33" s="775" t="s">
        <v>590</v>
      </c>
      <c r="G33" s="30" t="s">
        <v>485</v>
      </c>
      <c r="H33" s="30" t="s">
        <v>571</v>
      </c>
      <c r="I33" s="797"/>
      <c r="J33" s="30" t="s">
        <v>494</v>
      </c>
      <c r="K33" s="30"/>
      <c r="L33" s="30"/>
      <c r="M33" s="30"/>
      <c r="N33" s="30"/>
      <c r="O33" s="30"/>
      <c r="P33" s="30"/>
      <c r="Q33" s="30"/>
      <c r="R33" s="30"/>
      <c r="S33" s="808"/>
      <c r="T33" s="460"/>
      <c r="U33" s="804"/>
      <c r="V33" s="30"/>
      <c r="W33" s="30"/>
      <c r="X33" s="30"/>
      <c r="Y33" s="30"/>
      <c r="Z33" s="30"/>
      <c r="AA33" s="30"/>
      <c r="AB33" s="30"/>
      <c r="AC33" s="30"/>
      <c r="AD33" s="30"/>
      <c r="AE33" s="30"/>
      <c r="AF33" s="30"/>
      <c r="AG33" s="30"/>
      <c r="AH33" s="795" t="s">
        <v>1440</v>
      </c>
      <c r="AI33" s="792" t="s">
        <v>500</v>
      </c>
      <c r="AJ33" t="str">
        <f t="shared" si="0"/>
        <v>O2 GASTOS</v>
      </c>
      <c r="AL33" s="796"/>
      <c r="AO33" s="795">
        <v>42</v>
      </c>
      <c r="AP33" s="792" t="s">
        <v>500</v>
      </c>
      <c r="AQ33" t="str">
        <f t="shared" si="1"/>
        <v>42 GASTOS</v>
      </c>
    </row>
    <row r="34" spans="1:43" x14ac:dyDescent="0.3">
      <c r="A34" s="30"/>
      <c r="B34" s="30">
        <v>230000</v>
      </c>
      <c r="C34" s="30" t="s">
        <v>368</v>
      </c>
      <c r="D34" s="30" t="s">
        <v>580</v>
      </c>
      <c r="E34" s="30"/>
      <c r="F34" s="775" t="s">
        <v>591</v>
      </c>
      <c r="G34" s="30" t="s">
        <v>485</v>
      </c>
      <c r="H34" s="30" t="s">
        <v>573</v>
      </c>
      <c r="I34" s="797"/>
      <c r="J34" s="30" t="s">
        <v>494</v>
      </c>
      <c r="K34" s="30"/>
      <c r="L34" s="30"/>
      <c r="M34" s="30"/>
      <c r="N34" s="30"/>
      <c r="O34" s="30"/>
      <c r="P34" s="30"/>
      <c r="Q34" s="30"/>
      <c r="R34" s="30"/>
      <c r="S34" s="808"/>
      <c r="T34" s="460"/>
      <c r="U34" s="807"/>
      <c r="V34" s="30"/>
      <c r="W34" s="30"/>
      <c r="X34" s="30"/>
      <c r="Y34" s="30"/>
      <c r="Z34" s="30"/>
      <c r="AA34" s="30"/>
      <c r="AB34" s="30"/>
      <c r="AC34" s="30"/>
      <c r="AD34" s="30"/>
      <c r="AE34" s="30"/>
      <c r="AF34" s="30"/>
      <c r="AG34" s="30"/>
      <c r="AH34" s="795" t="s">
        <v>1441</v>
      </c>
      <c r="AI34" s="792" t="s">
        <v>1442</v>
      </c>
      <c r="AJ34" t="str">
        <f t="shared" si="0"/>
        <v>O21 GASTOS DE FUNCIONAMIENTO</v>
      </c>
      <c r="AL34" s="792"/>
      <c r="AM34" s="792"/>
      <c r="AO34" s="795">
        <v>421</v>
      </c>
      <c r="AP34" s="792" t="s">
        <v>1442</v>
      </c>
      <c r="AQ34" t="str">
        <f t="shared" si="1"/>
        <v>421 GASTOS DE FUNCIONAMIENTO</v>
      </c>
    </row>
    <row r="35" spans="1:43" x14ac:dyDescent="0.3">
      <c r="A35" s="30"/>
      <c r="B35" s="30">
        <v>80000</v>
      </c>
      <c r="C35" s="30" t="s">
        <v>370</v>
      </c>
      <c r="D35" s="30" t="s">
        <v>550</v>
      </c>
      <c r="E35" s="30"/>
      <c r="F35" s="775" t="s">
        <v>592</v>
      </c>
      <c r="G35" s="30" t="s">
        <v>485</v>
      </c>
      <c r="H35" s="30" t="s">
        <v>575</v>
      </c>
      <c r="I35" s="797"/>
      <c r="J35" s="30" t="s">
        <v>494</v>
      </c>
      <c r="K35" s="30"/>
      <c r="L35" s="30"/>
      <c r="M35" s="30"/>
      <c r="N35" s="30"/>
      <c r="O35" s="30"/>
      <c r="P35" s="30"/>
      <c r="Q35" s="30"/>
      <c r="R35" s="30"/>
      <c r="S35" s="808"/>
      <c r="T35" s="460"/>
      <c r="U35" s="807"/>
      <c r="V35" s="30"/>
      <c r="W35" s="30"/>
      <c r="X35" s="30"/>
      <c r="Y35" s="30"/>
      <c r="Z35" s="30"/>
      <c r="AA35" s="30"/>
      <c r="AB35" s="30"/>
      <c r="AC35" s="30"/>
      <c r="AD35" s="30"/>
      <c r="AE35" s="30"/>
      <c r="AF35" s="30"/>
      <c r="AG35" s="30"/>
      <c r="AH35" s="796" t="s">
        <v>1443</v>
      </c>
      <c r="AI35" t="s">
        <v>1444</v>
      </c>
      <c r="AJ35" t="str">
        <f t="shared" si="0"/>
        <v>O211 Gasto de personal</v>
      </c>
      <c r="AL35" s="795"/>
      <c r="AM35" s="792"/>
      <c r="AO35" s="796">
        <v>4211</v>
      </c>
      <c r="AP35" t="s">
        <v>1444</v>
      </c>
      <c r="AQ35" t="str">
        <f t="shared" si="1"/>
        <v>4211 Gasto de personal</v>
      </c>
    </row>
    <row r="36" spans="1:43" x14ac:dyDescent="0.3">
      <c r="A36" s="30"/>
      <c r="B36" s="30">
        <v>90000</v>
      </c>
      <c r="C36" s="30" t="s">
        <v>372</v>
      </c>
      <c r="D36" s="30" t="s">
        <v>582</v>
      </c>
      <c r="E36" s="30"/>
      <c r="F36" s="775" t="s">
        <v>593</v>
      </c>
      <c r="G36" s="30" t="s">
        <v>485</v>
      </c>
      <c r="H36" s="30" t="s">
        <v>525</v>
      </c>
      <c r="I36" s="797"/>
      <c r="J36" s="30" t="s">
        <v>494</v>
      </c>
      <c r="K36" s="30"/>
      <c r="L36" s="30"/>
      <c r="M36" s="30"/>
      <c r="N36" s="30"/>
      <c r="O36" s="30"/>
      <c r="P36" s="30"/>
      <c r="Q36" s="30"/>
      <c r="R36" s="30"/>
      <c r="S36" s="808"/>
      <c r="T36" s="460"/>
      <c r="U36" s="804"/>
      <c r="V36" s="30"/>
      <c r="W36" s="30"/>
      <c r="X36" s="30"/>
      <c r="Y36" s="30"/>
      <c r="Z36" s="30"/>
      <c r="AA36" s="30"/>
      <c r="AB36" s="30"/>
      <c r="AC36" s="30"/>
      <c r="AD36" s="30"/>
      <c r="AE36" s="30"/>
      <c r="AF36" s="30"/>
      <c r="AG36" s="30"/>
      <c r="AH36" t="s">
        <v>1445</v>
      </c>
      <c r="AI36" t="s">
        <v>1446</v>
      </c>
      <c r="AJ36" t="str">
        <f t="shared" si="0"/>
        <v>O21101 Planta de Personal permanente</v>
      </c>
      <c r="AL36" s="795"/>
      <c r="AM36" s="792"/>
      <c r="AO36" s="796">
        <v>421101</v>
      </c>
      <c r="AP36" t="s">
        <v>1446</v>
      </c>
      <c r="AQ36" t="str">
        <f t="shared" si="1"/>
        <v>421101 Planta de Personal permanente</v>
      </c>
    </row>
    <row r="37" spans="1:43" x14ac:dyDescent="0.3">
      <c r="A37" s="30"/>
      <c r="B37" s="30"/>
      <c r="C37" s="30"/>
      <c r="D37" s="30"/>
      <c r="E37" s="30"/>
      <c r="F37" s="775" t="s">
        <v>594</v>
      </c>
      <c r="G37" s="30" t="s">
        <v>485</v>
      </c>
      <c r="H37" s="30" t="s">
        <v>577</v>
      </c>
      <c r="I37" s="797"/>
      <c r="J37" s="30" t="s">
        <v>494</v>
      </c>
      <c r="K37" s="30"/>
      <c r="L37" s="30"/>
      <c r="M37" s="30"/>
      <c r="N37" s="30"/>
      <c r="O37" s="30"/>
      <c r="P37" s="30"/>
      <c r="Q37" s="30"/>
      <c r="R37" s="30"/>
      <c r="S37" s="808"/>
      <c r="T37" s="460"/>
      <c r="U37" s="804"/>
      <c r="V37" s="30"/>
      <c r="W37" s="30"/>
      <c r="X37" s="30"/>
      <c r="Y37" s="30"/>
      <c r="Z37" s="30"/>
      <c r="AA37" s="30"/>
      <c r="AB37" s="30"/>
      <c r="AC37" s="30"/>
      <c r="AD37" s="30"/>
      <c r="AE37" s="30"/>
      <c r="AF37" s="30"/>
      <c r="AG37" s="30"/>
      <c r="AH37" t="s">
        <v>1447</v>
      </c>
      <c r="AI37" t="s">
        <v>1448</v>
      </c>
      <c r="AJ37" t="str">
        <f t="shared" si="0"/>
        <v>O21102 Personal supernumerario y Planta temporal</v>
      </c>
      <c r="AL37" s="796"/>
      <c r="AO37" s="796">
        <v>421102</v>
      </c>
      <c r="AP37" t="s">
        <v>1448</v>
      </c>
      <c r="AQ37" t="str">
        <f t="shared" si="1"/>
        <v>421102 Personal supernumerario y Planta temporal</v>
      </c>
    </row>
    <row r="38" spans="1:43" x14ac:dyDescent="0.3">
      <c r="A38" s="30"/>
      <c r="B38" s="30"/>
      <c r="C38" s="30"/>
      <c r="D38" s="30"/>
      <c r="E38" s="30"/>
      <c r="F38" s="775" t="s">
        <v>595</v>
      </c>
      <c r="G38" s="30" t="s">
        <v>596</v>
      </c>
      <c r="H38" s="30" t="s">
        <v>555</v>
      </c>
      <c r="I38" s="1583" t="s">
        <v>144</v>
      </c>
      <c r="J38" s="30" t="s">
        <v>494</v>
      </c>
      <c r="K38" s="30"/>
      <c r="L38" s="30"/>
      <c r="M38" s="30"/>
      <c r="N38" s="30"/>
      <c r="O38" s="30"/>
      <c r="P38" s="30"/>
      <c r="Q38" s="30"/>
      <c r="R38" s="30"/>
      <c r="S38" s="808"/>
      <c r="T38" s="460"/>
      <c r="U38" s="804"/>
      <c r="V38" s="30"/>
      <c r="W38" s="30"/>
      <c r="X38" s="30"/>
      <c r="Y38" s="30"/>
      <c r="Z38" s="30"/>
      <c r="AA38" s="30"/>
      <c r="AB38" s="30"/>
      <c r="AC38" s="30"/>
      <c r="AD38" s="30"/>
      <c r="AE38" s="30"/>
      <c r="AF38" s="30"/>
      <c r="AG38" s="30"/>
      <c r="AH38" s="796" t="s">
        <v>1450</v>
      </c>
      <c r="AI38" t="s">
        <v>1451</v>
      </c>
      <c r="AJ38" t="str">
        <f t="shared" si="0"/>
        <v>O212 Adquisición bienes y servicios</v>
      </c>
      <c r="AL38" s="796"/>
      <c r="AO38" s="796">
        <v>4212</v>
      </c>
      <c r="AP38" t="s">
        <v>1451</v>
      </c>
      <c r="AQ38" t="str">
        <f t="shared" si="1"/>
        <v>4212 Adquisición bienes y servicios</v>
      </c>
    </row>
    <row r="39" spans="1:43" x14ac:dyDescent="0.3">
      <c r="A39" s="30"/>
      <c r="B39" s="30"/>
      <c r="C39" s="30"/>
      <c r="D39" s="30"/>
      <c r="E39" s="30"/>
      <c r="F39" s="775" t="s">
        <v>599</v>
      </c>
      <c r="G39" s="30" t="s">
        <v>1449</v>
      </c>
      <c r="H39" s="30" t="s">
        <v>557</v>
      </c>
      <c r="I39" s="797"/>
      <c r="J39" s="30" t="s">
        <v>494</v>
      </c>
      <c r="K39" s="30"/>
      <c r="L39" s="30"/>
      <c r="M39" s="30"/>
      <c r="N39" s="30"/>
      <c r="O39" s="30"/>
      <c r="P39" s="30"/>
      <c r="Q39" s="30"/>
      <c r="R39" s="30"/>
      <c r="S39" s="808"/>
      <c r="T39" s="460"/>
      <c r="U39" s="804"/>
      <c r="V39" s="30"/>
      <c r="W39" s="30"/>
      <c r="X39" s="30"/>
      <c r="Y39" s="30"/>
      <c r="Z39" s="30"/>
      <c r="AA39" s="30"/>
      <c r="AB39" s="30"/>
      <c r="AC39" s="30"/>
      <c r="AD39" s="30"/>
      <c r="AE39" s="30"/>
      <c r="AF39" s="30"/>
      <c r="AG39" s="30"/>
      <c r="AH39" t="s">
        <v>1452</v>
      </c>
      <c r="AI39" t="s">
        <v>1453</v>
      </c>
      <c r="AJ39" t="str">
        <f t="shared" si="0"/>
        <v>O21201 Adquisición de activos no financieros</v>
      </c>
      <c r="AL39" s="796"/>
      <c r="AO39" s="796">
        <v>421201</v>
      </c>
      <c r="AP39" t="s">
        <v>1453</v>
      </c>
      <c r="AQ39" t="str">
        <f t="shared" si="1"/>
        <v>421201 Adquisición de activos no financieros</v>
      </c>
    </row>
    <row r="40" spans="1:43" x14ac:dyDescent="0.3">
      <c r="A40" s="30"/>
      <c r="B40" s="30"/>
      <c r="C40" s="30"/>
      <c r="D40" s="30"/>
      <c r="E40" s="30"/>
      <c r="F40" s="775" t="s">
        <v>601</v>
      </c>
      <c r="G40" s="30" t="s">
        <v>513</v>
      </c>
      <c r="H40" s="30" t="s">
        <v>557</v>
      </c>
      <c r="I40" s="797"/>
      <c r="J40" s="30" t="s">
        <v>494</v>
      </c>
      <c r="K40" s="30"/>
      <c r="L40" s="30"/>
      <c r="M40" s="30" t="s">
        <v>1768</v>
      </c>
      <c r="N40" s="30"/>
      <c r="O40" s="30"/>
      <c r="P40" s="30"/>
      <c r="Q40" s="30"/>
      <c r="R40" s="30"/>
      <c r="S40" s="288"/>
      <c r="T40" s="460"/>
      <c r="U40" s="804"/>
      <c r="V40" s="30"/>
      <c r="W40" s="30"/>
      <c r="X40" s="30"/>
      <c r="Y40" s="30"/>
      <c r="Z40" s="30"/>
      <c r="AA40" s="30"/>
      <c r="AB40" s="30"/>
      <c r="AC40" s="30"/>
      <c r="AD40" s="30"/>
      <c r="AE40" s="30"/>
      <c r="AF40" s="30"/>
      <c r="AG40" s="30"/>
      <c r="AH40" t="s">
        <v>1454</v>
      </c>
      <c r="AI40" t="s">
        <v>1455</v>
      </c>
      <c r="AJ40" t="str">
        <f t="shared" si="0"/>
        <v>O21202 Adquisiciones diferentes de activos</v>
      </c>
      <c r="AL40" s="796"/>
      <c r="AO40" s="796">
        <v>421202</v>
      </c>
      <c r="AP40" t="s">
        <v>1455</v>
      </c>
      <c r="AQ40" t="str">
        <f t="shared" si="1"/>
        <v>421202 Adquisiciones diferentes de activos</v>
      </c>
    </row>
    <row r="41" spans="1:43" x14ac:dyDescent="0.3">
      <c r="A41" s="30"/>
      <c r="B41" s="30"/>
      <c r="C41" s="30"/>
      <c r="D41" s="30"/>
      <c r="E41" s="30"/>
      <c r="F41" s="775" t="s">
        <v>602</v>
      </c>
      <c r="G41" s="30" t="s">
        <v>596</v>
      </c>
      <c r="H41" s="30" t="s">
        <v>550</v>
      </c>
      <c r="I41" s="797"/>
      <c r="J41" s="30" t="s">
        <v>494</v>
      </c>
      <c r="K41" s="30"/>
      <c r="L41" s="30"/>
      <c r="M41" s="30"/>
      <c r="N41" s="30"/>
      <c r="O41" s="30"/>
      <c r="P41" s="30"/>
      <c r="Q41" s="30"/>
      <c r="R41" s="30"/>
      <c r="S41" s="288"/>
      <c r="U41" s="804"/>
      <c r="V41" s="30"/>
      <c r="W41" s="30"/>
      <c r="X41" s="30"/>
      <c r="Y41" s="30"/>
      <c r="Z41" s="30"/>
      <c r="AA41" s="30"/>
      <c r="AB41" s="30"/>
      <c r="AC41" s="30"/>
      <c r="AD41" s="30"/>
      <c r="AE41" s="30"/>
      <c r="AF41" s="30"/>
      <c r="AG41" s="30"/>
      <c r="AH41" t="s">
        <v>1456</v>
      </c>
      <c r="AI41" t="s">
        <v>1457</v>
      </c>
      <c r="AJ41" t="str">
        <f t="shared" si="0"/>
        <v>O213 Transferencias CORRIENTES</v>
      </c>
      <c r="AL41" s="796"/>
      <c r="AO41" s="796">
        <v>4213</v>
      </c>
      <c r="AP41" t="s">
        <v>1457</v>
      </c>
      <c r="AQ41" t="str">
        <f t="shared" si="1"/>
        <v>4213 Transferencias CORRIENTES</v>
      </c>
    </row>
    <row r="42" spans="1:43" x14ac:dyDescent="0.3">
      <c r="A42" s="30"/>
      <c r="B42" s="30"/>
      <c r="C42" s="30"/>
      <c r="D42" s="30"/>
      <c r="E42" s="30"/>
      <c r="F42" s="775" t="s">
        <v>604</v>
      </c>
      <c r="G42" s="30" t="s">
        <v>1449</v>
      </c>
      <c r="H42" s="30" t="s">
        <v>557</v>
      </c>
      <c r="I42" s="797"/>
      <c r="J42" s="30" t="s">
        <v>494</v>
      </c>
      <c r="K42" s="30"/>
      <c r="L42" s="30"/>
      <c r="M42" s="30"/>
      <c r="N42" s="30"/>
      <c r="O42" s="30"/>
      <c r="P42" s="30"/>
      <c r="Q42" s="30"/>
      <c r="R42" s="30"/>
      <c r="S42" s="30"/>
      <c r="T42" s="460"/>
      <c r="U42" s="804"/>
      <c r="V42" s="30"/>
      <c r="W42" s="30"/>
      <c r="X42" s="30"/>
      <c r="Y42" s="30"/>
      <c r="Z42" s="30"/>
      <c r="AA42" s="30"/>
      <c r="AB42" s="30"/>
      <c r="AC42" s="30"/>
      <c r="AD42" s="30"/>
      <c r="AE42" s="30"/>
      <c r="AF42" s="30"/>
      <c r="AG42" s="30"/>
      <c r="AH42" t="s">
        <v>1458</v>
      </c>
      <c r="AI42" t="s">
        <v>1459</v>
      </c>
      <c r="AJ42" t="str">
        <f t="shared" si="0"/>
        <v>O21304 A organizaciones nacionales</v>
      </c>
      <c r="AL42" s="795"/>
      <c r="AM42" s="792"/>
      <c r="AO42" s="796">
        <v>421304</v>
      </c>
      <c r="AP42" t="s">
        <v>1459</v>
      </c>
      <c r="AQ42" t="str">
        <f t="shared" si="1"/>
        <v>421304 A organizaciones nacionales</v>
      </c>
    </row>
    <row r="43" spans="1:43" x14ac:dyDescent="0.3">
      <c r="A43" s="30"/>
      <c r="B43" s="30"/>
      <c r="C43" s="30"/>
      <c r="D43" s="30"/>
      <c r="E43" s="30"/>
      <c r="F43" s="775" t="s">
        <v>603</v>
      </c>
      <c r="G43" s="30" t="s">
        <v>598</v>
      </c>
      <c r="H43" s="30" t="s">
        <v>541</v>
      </c>
      <c r="I43" s="797"/>
      <c r="J43" s="30" t="s">
        <v>494</v>
      </c>
      <c r="K43" s="30"/>
      <c r="L43" s="30"/>
      <c r="M43" s="30"/>
      <c r="N43" s="30"/>
      <c r="O43" s="30"/>
      <c r="P43" s="30"/>
      <c r="Q43" s="30"/>
      <c r="R43" s="30"/>
      <c r="S43" s="30"/>
      <c r="T43" s="460"/>
      <c r="U43" s="804"/>
      <c r="V43" s="30"/>
      <c r="W43" s="30"/>
      <c r="X43" s="30"/>
      <c r="Y43" s="30"/>
      <c r="Z43" s="30"/>
      <c r="AA43" s="30"/>
      <c r="AB43" s="30"/>
      <c r="AC43" s="30"/>
      <c r="AD43" s="30"/>
      <c r="AE43" s="30"/>
      <c r="AF43" s="30"/>
      <c r="AG43" s="30"/>
      <c r="AH43" t="s">
        <v>1460</v>
      </c>
      <c r="AI43" t="s">
        <v>1461</v>
      </c>
      <c r="AJ43" t="str">
        <f t="shared" si="0"/>
        <v>O21305 A entidades del gobierno</v>
      </c>
      <c r="AL43" s="796"/>
      <c r="AO43" s="796">
        <v>421305</v>
      </c>
      <c r="AP43" t="s">
        <v>1461</v>
      </c>
      <c r="AQ43" t="str">
        <f t="shared" si="1"/>
        <v>421305 A entidades del gobierno</v>
      </c>
    </row>
    <row r="44" spans="1:43" x14ac:dyDescent="0.3">
      <c r="A44" s="30"/>
      <c r="B44" s="30"/>
      <c r="C44" s="30"/>
      <c r="D44" s="30"/>
      <c r="E44" s="30"/>
      <c r="F44" s="775" t="s">
        <v>608</v>
      </c>
      <c r="G44" s="30" t="s">
        <v>1449</v>
      </c>
      <c r="H44" s="30" t="s">
        <v>557</v>
      </c>
      <c r="I44" s="797"/>
      <c r="J44" s="30" t="s">
        <v>494</v>
      </c>
      <c r="K44" s="30"/>
      <c r="L44" s="30"/>
      <c r="M44" s="30"/>
      <c r="N44" s="30"/>
      <c r="O44" s="30"/>
      <c r="P44" s="30"/>
      <c r="Q44" s="30"/>
      <c r="R44" s="30"/>
      <c r="S44" s="30"/>
      <c r="T44" s="460"/>
      <c r="U44" s="804"/>
      <c r="V44" s="30"/>
      <c r="W44" s="30"/>
      <c r="X44" s="30"/>
      <c r="Y44" s="30"/>
      <c r="Z44" s="30"/>
      <c r="AA44" s="30"/>
      <c r="AB44" s="30"/>
      <c r="AC44" s="30"/>
      <c r="AD44" s="30"/>
      <c r="AE44" s="30"/>
      <c r="AF44" s="30"/>
      <c r="AG44" s="30"/>
      <c r="AI44" t="s">
        <v>441</v>
      </c>
      <c r="AJ44" t="str">
        <f t="shared" si="0"/>
        <v xml:space="preserve"> Adquisición de activos financieros</v>
      </c>
      <c r="AL44" s="796"/>
      <c r="AP44" t="s">
        <v>441</v>
      </c>
      <c r="AQ44" t="str">
        <f t="shared" si="1"/>
        <v xml:space="preserve"> Adquisición de activos financieros</v>
      </c>
    </row>
    <row r="45" spans="1:43" x14ac:dyDescent="0.3">
      <c r="A45" s="30"/>
      <c r="B45" s="30"/>
      <c r="C45" s="30"/>
      <c r="D45" s="30"/>
      <c r="E45" s="30"/>
      <c r="F45" s="775" t="s">
        <v>606</v>
      </c>
      <c r="G45" s="30" t="s">
        <v>596</v>
      </c>
      <c r="H45" s="30" t="s">
        <v>557</v>
      </c>
      <c r="I45" s="797"/>
      <c r="J45" s="30" t="s">
        <v>494</v>
      </c>
      <c r="K45" s="30"/>
      <c r="L45" s="30"/>
      <c r="M45" s="30"/>
      <c r="N45" s="30"/>
      <c r="O45" s="30"/>
      <c r="P45" s="30"/>
      <c r="Q45" s="30"/>
      <c r="R45" s="30"/>
      <c r="S45" s="30"/>
      <c r="T45" s="460"/>
      <c r="U45" s="809"/>
      <c r="V45" s="30"/>
      <c r="W45" s="30"/>
      <c r="X45" s="30"/>
      <c r="Y45" s="30"/>
      <c r="Z45" s="30"/>
      <c r="AA45" s="30"/>
      <c r="AB45" s="30"/>
      <c r="AC45" s="30"/>
      <c r="AD45" s="30"/>
      <c r="AE45" s="30"/>
      <c r="AF45" s="30"/>
      <c r="AG45" s="30"/>
      <c r="AH45" t="s">
        <v>1462</v>
      </c>
      <c r="AI45" t="s">
        <v>1463</v>
      </c>
      <c r="AJ45" t="str">
        <f t="shared" si="0"/>
        <v>O21314 Aportes al FONPET</v>
      </c>
      <c r="AL45" s="795"/>
      <c r="AM45" s="792"/>
      <c r="AO45" s="796">
        <v>421314</v>
      </c>
      <c r="AP45" t="s">
        <v>1463</v>
      </c>
      <c r="AQ45" t="str">
        <f t="shared" si="1"/>
        <v>421314 Aportes al FONPET</v>
      </c>
    </row>
    <row r="46" spans="1:43" x14ac:dyDescent="0.3">
      <c r="A46" s="30"/>
      <c r="B46" s="30"/>
      <c r="C46" s="30"/>
      <c r="D46" s="30"/>
      <c r="E46" s="30"/>
      <c r="F46" s="775" t="s">
        <v>611</v>
      </c>
      <c r="G46" s="30" t="s">
        <v>1449</v>
      </c>
      <c r="H46" s="30" t="s">
        <v>557</v>
      </c>
      <c r="I46" s="797"/>
      <c r="J46" s="30" t="s">
        <v>494</v>
      </c>
      <c r="K46" s="30"/>
      <c r="L46" s="30"/>
      <c r="M46" s="30"/>
      <c r="N46" s="30"/>
      <c r="O46" s="30"/>
      <c r="P46" s="30"/>
      <c r="Q46" s="30"/>
      <c r="R46" s="30"/>
      <c r="S46" s="30"/>
      <c r="T46" s="460"/>
      <c r="U46" s="809"/>
      <c r="V46" s="30"/>
      <c r="W46" s="30"/>
      <c r="X46" s="30"/>
      <c r="Y46" s="30"/>
      <c r="Z46" s="30"/>
      <c r="AA46" s="30"/>
      <c r="AB46" s="30"/>
      <c r="AC46" s="30"/>
      <c r="AD46" s="30"/>
      <c r="AE46" s="30"/>
      <c r="AF46" s="30"/>
      <c r="AG46" s="30"/>
      <c r="AH46" t="s">
        <v>1464</v>
      </c>
      <c r="AI46" t="s">
        <v>1465</v>
      </c>
      <c r="AJ46" t="str">
        <f t="shared" si="0"/>
        <v>O217 Disminución de Pasivos</v>
      </c>
      <c r="AL46" s="796"/>
      <c r="AM46" s="792"/>
      <c r="AO46" s="796">
        <v>4217</v>
      </c>
      <c r="AP46" t="s">
        <v>1465</v>
      </c>
      <c r="AQ46" t="str">
        <f t="shared" si="1"/>
        <v>4217 Disminución de Pasivos</v>
      </c>
    </row>
    <row r="47" spans="1:43" x14ac:dyDescent="0.3">
      <c r="A47" s="30"/>
      <c r="B47" s="30"/>
      <c r="C47" s="30"/>
      <c r="D47" s="30"/>
      <c r="E47" s="30"/>
      <c r="F47" s="775" t="s">
        <v>613</v>
      </c>
      <c r="G47" s="30" t="s">
        <v>1449</v>
      </c>
      <c r="H47" s="30" t="s">
        <v>557</v>
      </c>
      <c r="I47" s="797"/>
      <c r="J47" s="30" t="s">
        <v>494</v>
      </c>
      <c r="K47" s="30"/>
      <c r="L47" s="30"/>
      <c r="M47" s="30"/>
      <c r="N47" s="30"/>
      <c r="O47" s="30"/>
      <c r="P47" s="30"/>
      <c r="Q47" s="30"/>
      <c r="R47" s="30"/>
      <c r="S47" s="30"/>
      <c r="T47" s="460"/>
      <c r="U47" s="809"/>
      <c r="V47" s="30"/>
      <c r="W47" s="30"/>
      <c r="X47" s="30"/>
      <c r="Y47" s="30"/>
      <c r="Z47" s="30"/>
      <c r="AA47" s="30"/>
      <c r="AB47" s="30"/>
      <c r="AC47" s="30"/>
      <c r="AD47" s="30"/>
      <c r="AE47" s="30"/>
      <c r="AF47" s="30"/>
      <c r="AG47" s="30"/>
      <c r="AH47" t="s">
        <v>1466</v>
      </c>
      <c r="AI47" t="s">
        <v>443</v>
      </c>
      <c r="AJ47" t="str">
        <f t="shared" si="0"/>
        <v>O218 Gastos por tributos, tasas, contribuciones, multas, sanciones e intereses de mora</v>
      </c>
      <c r="AL47" s="796"/>
      <c r="AO47" s="796">
        <v>4218</v>
      </c>
      <c r="AP47" t="s">
        <v>443</v>
      </c>
      <c r="AQ47" t="str">
        <f t="shared" si="1"/>
        <v>4218 Gastos por tributos, tasas, contribuciones, multas, sanciones e intereses de mora</v>
      </c>
    </row>
    <row r="48" spans="1:43" x14ac:dyDescent="0.3">
      <c r="A48" s="30"/>
      <c r="B48" s="30"/>
      <c r="C48" s="30"/>
      <c r="D48" s="30"/>
      <c r="E48" s="30"/>
      <c r="F48" s="775" t="s">
        <v>607</v>
      </c>
      <c r="G48" s="30" t="s">
        <v>596</v>
      </c>
      <c r="H48" s="30" t="s">
        <v>559</v>
      </c>
      <c r="I48" s="797" t="s">
        <v>144</v>
      </c>
      <c r="J48" s="30" t="s">
        <v>494</v>
      </c>
      <c r="K48" s="30"/>
      <c r="L48" s="30"/>
      <c r="M48" s="30"/>
      <c r="N48" s="30"/>
      <c r="O48" s="30"/>
      <c r="P48" s="30"/>
      <c r="Q48" s="30"/>
      <c r="R48" s="30"/>
      <c r="S48" s="30"/>
      <c r="T48" s="460"/>
      <c r="U48" s="809"/>
      <c r="V48" s="30"/>
      <c r="W48" s="30"/>
      <c r="X48" s="30"/>
      <c r="Y48" s="30"/>
      <c r="Z48" s="30"/>
      <c r="AA48" s="30"/>
      <c r="AB48" s="30"/>
      <c r="AC48" s="30"/>
      <c r="AD48" s="30"/>
      <c r="AE48" s="30"/>
      <c r="AF48" s="30"/>
      <c r="AG48" s="30"/>
      <c r="AH48" s="795" t="s">
        <v>1467</v>
      </c>
      <c r="AI48" s="792" t="s">
        <v>1468</v>
      </c>
      <c r="AJ48" t="str">
        <f t="shared" si="0"/>
        <v>O22 SERVICIO DE LA DEUDA PÚBLICA</v>
      </c>
      <c r="AL48" s="796"/>
      <c r="AO48" s="795">
        <v>422</v>
      </c>
      <c r="AP48" s="792" t="s">
        <v>1468</v>
      </c>
      <c r="AQ48" t="str">
        <f t="shared" si="1"/>
        <v>422 SERVICIO DE LA DEUDA PÚBLICA</v>
      </c>
    </row>
    <row r="49" spans="1:43" x14ac:dyDescent="0.3">
      <c r="A49" s="30"/>
      <c r="B49" s="30"/>
      <c r="C49" s="30"/>
      <c r="D49" s="30"/>
      <c r="E49" s="30"/>
      <c r="F49" s="775" t="s">
        <v>609</v>
      </c>
      <c r="G49" s="30" t="s">
        <v>596</v>
      </c>
      <c r="H49" s="30" t="s">
        <v>559</v>
      </c>
      <c r="I49" s="797" t="s">
        <v>144</v>
      </c>
      <c r="J49" s="30" t="s">
        <v>494</v>
      </c>
      <c r="K49" s="30"/>
      <c r="L49" s="30"/>
      <c r="M49" s="30"/>
      <c r="N49" s="30"/>
      <c r="O49" s="30"/>
      <c r="P49" s="30"/>
      <c r="Q49" s="30"/>
      <c r="R49" s="30"/>
      <c r="S49" s="30"/>
      <c r="U49" s="809"/>
      <c r="V49" s="30"/>
      <c r="W49" s="30"/>
      <c r="X49" s="30"/>
      <c r="Y49" s="30"/>
      <c r="Z49" s="30"/>
      <c r="AA49" s="30"/>
      <c r="AB49" s="30"/>
      <c r="AC49" s="30"/>
      <c r="AD49" s="30"/>
      <c r="AE49" s="30"/>
      <c r="AF49" s="30"/>
      <c r="AG49" s="30"/>
      <c r="AH49" s="795" t="s">
        <v>1469</v>
      </c>
      <c r="AI49" t="s">
        <v>1470</v>
      </c>
      <c r="AJ49" t="str">
        <f t="shared" si="0"/>
        <v>O221 Servicios de la deuda pública externa</v>
      </c>
      <c r="AL49" s="795"/>
      <c r="AM49" s="792"/>
      <c r="AO49" s="795">
        <v>4221</v>
      </c>
      <c r="AP49" t="s">
        <v>1470</v>
      </c>
      <c r="AQ49" t="str">
        <f t="shared" si="1"/>
        <v>4221 Servicios de la deuda pública externa</v>
      </c>
    </row>
    <row r="50" spans="1:43" x14ac:dyDescent="0.3">
      <c r="A50" s="30"/>
      <c r="B50" s="30"/>
      <c r="C50" s="30"/>
      <c r="D50" s="30"/>
      <c r="E50" s="30"/>
      <c r="F50" s="775" t="s">
        <v>610</v>
      </c>
      <c r="G50" s="30" t="s">
        <v>596</v>
      </c>
      <c r="H50" s="30" t="s">
        <v>568</v>
      </c>
      <c r="I50" s="797"/>
      <c r="J50" s="30" t="s">
        <v>494</v>
      </c>
      <c r="K50" s="30"/>
      <c r="L50" s="30"/>
      <c r="M50" s="30"/>
      <c r="N50" s="30"/>
      <c r="O50" s="30"/>
      <c r="P50" s="30"/>
      <c r="Q50" s="30"/>
      <c r="R50" s="30"/>
      <c r="S50" s="30"/>
      <c r="T50" s="460"/>
      <c r="U50" s="809"/>
      <c r="V50" s="30"/>
      <c r="W50" s="30"/>
      <c r="X50" s="30"/>
      <c r="Y50" s="30"/>
      <c r="Z50" s="30"/>
      <c r="AA50" s="30"/>
      <c r="AB50" s="30"/>
      <c r="AC50" s="30"/>
      <c r="AD50" s="30"/>
      <c r="AE50" s="30"/>
      <c r="AF50" s="30"/>
      <c r="AG50" s="30"/>
      <c r="AH50" t="s">
        <v>1471</v>
      </c>
      <c r="AI50" t="s">
        <v>1472</v>
      </c>
      <c r="AJ50" t="str">
        <f t="shared" si="0"/>
        <v>O22101 Principal</v>
      </c>
      <c r="AO50" s="796">
        <v>422101</v>
      </c>
      <c r="AP50" t="s">
        <v>1472</v>
      </c>
      <c r="AQ50" t="str">
        <f t="shared" si="1"/>
        <v>422101 Principal</v>
      </c>
    </row>
    <row r="51" spans="1:43" x14ac:dyDescent="0.3">
      <c r="A51" s="30"/>
      <c r="B51" s="30"/>
      <c r="C51" s="30"/>
      <c r="D51" s="30"/>
      <c r="E51" s="30"/>
      <c r="F51" s="775" t="s">
        <v>612</v>
      </c>
      <c r="G51" s="30" t="s">
        <v>596</v>
      </c>
      <c r="H51" s="30" t="s">
        <v>559</v>
      </c>
      <c r="I51" s="797" t="s">
        <v>144</v>
      </c>
      <c r="J51" s="30" t="s">
        <v>494</v>
      </c>
      <c r="K51" s="30"/>
      <c r="L51" s="30"/>
      <c r="M51" s="30"/>
      <c r="N51" s="30"/>
      <c r="O51" s="30"/>
      <c r="P51" s="30"/>
      <c r="Q51" s="30"/>
      <c r="R51" s="30"/>
      <c r="S51" s="30"/>
      <c r="T51" s="460"/>
      <c r="U51" s="809"/>
      <c r="V51" s="30"/>
      <c r="W51" s="30"/>
      <c r="X51" s="30"/>
      <c r="Y51" s="30"/>
      <c r="Z51" s="30"/>
      <c r="AA51" s="30"/>
      <c r="AB51" s="30"/>
      <c r="AC51" s="30"/>
      <c r="AD51" s="30"/>
      <c r="AE51" s="30"/>
      <c r="AF51" s="30"/>
      <c r="AG51" s="30"/>
      <c r="AH51" t="s">
        <v>1473</v>
      </c>
      <c r="AI51" t="s">
        <v>1474</v>
      </c>
      <c r="AJ51" t="str">
        <f t="shared" si="0"/>
        <v>O22102 Intereses</v>
      </c>
      <c r="AO51" s="796">
        <v>422102</v>
      </c>
      <c r="AP51" t="s">
        <v>1474</v>
      </c>
      <c r="AQ51" t="str">
        <f t="shared" si="1"/>
        <v>422102 Intereses</v>
      </c>
    </row>
    <row r="52" spans="1:43" x14ac:dyDescent="0.3">
      <c r="A52" s="30"/>
      <c r="B52" s="30"/>
      <c r="C52" s="30"/>
      <c r="D52" s="30"/>
      <c r="E52" s="30"/>
      <c r="F52" s="775" t="s">
        <v>614</v>
      </c>
      <c r="G52" s="30" t="s">
        <v>596</v>
      </c>
      <c r="H52" s="30" t="s">
        <v>559</v>
      </c>
      <c r="I52" s="797" t="s">
        <v>144</v>
      </c>
      <c r="J52" s="30" t="s">
        <v>494</v>
      </c>
      <c r="K52" s="30"/>
      <c r="L52" s="30"/>
      <c r="M52" s="30"/>
      <c r="N52" s="30"/>
      <c r="O52" s="30"/>
      <c r="P52" s="30"/>
      <c r="Q52" s="30"/>
      <c r="R52" s="30"/>
      <c r="S52" s="30"/>
      <c r="T52" s="460"/>
      <c r="U52" s="809"/>
      <c r="V52" s="30"/>
      <c r="W52" s="30"/>
      <c r="X52" s="30"/>
      <c r="Y52" s="30"/>
      <c r="Z52" s="30"/>
      <c r="AA52" s="30"/>
      <c r="AB52" s="30"/>
      <c r="AC52" s="30"/>
      <c r="AD52" s="30"/>
      <c r="AE52" s="30"/>
      <c r="AF52" s="30"/>
      <c r="AG52" s="30"/>
      <c r="AH52" s="795" t="s">
        <v>1475</v>
      </c>
      <c r="AI52" t="s">
        <v>1476</v>
      </c>
      <c r="AJ52" t="str">
        <f t="shared" si="0"/>
        <v>O222 Servicios de la deuda pública interna</v>
      </c>
      <c r="AO52" s="795">
        <v>4222</v>
      </c>
      <c r="AP52" t="s">
        <v>1476</v>
      </c>
      <c r="AQ52" t="str">
        <f t="shared" si="1"/>
        <v>4222 Servicios de la deuda pública interna</v>
      </c>
    </row>
    <row r="53" spans="1:43" x14ac:dyDescent="0.3">
      <c r="A53" s="30"/>
      <c r="B53" s="30"/>
      <c r="C53" s="30"/>
      <c r="D53" s="30"/>
      <c r="E53" s="30"/>
      <c r="F53" s="775" t="s">
        <v>615</v>
      </c>
      <c r="G53" s="30" t="s">
        <v>596</v>
      </c>
      <c r="H53" s="30" t="s">
        <v>557</v>
      </c>
      <c r="I53" s="797"/>
      <c r="J53" s="30" t="s">
        <v>494</v>
      </c>
      <c r="K53" s="30"/>
      <c r="L53" s="30"/>
      <c r="M53" s="30"/>
      <c r="N53" s="30"/>
      <c r="O53" s="30"/>
      <c r="P53" s="30"/>
      <c r="Q53" s="30"/>
      <c r="R53" s="30"/>
      <c r="S53" s="30"/>
      <c r="T53" s="460"/>
      <c r="U53" s="809"/>
      <c r="V53" s="30"/>
      <c r="W53" s="30"/>
      <c r="X53" s="30"/>
      <c r="Y53" s="30"/>
      <c r="Z53" s="30"/>
      <c r="AA53" s="30"/>
      <c r="AB53" s="30"/>
      <c r="AC53" s="30"/>
      <c r="AD53" s="30"/>
      <c r="AE53" s="30"/>
      <c r="AF53" s="30"/>
      <c r="AG53" s="30"/>
      <c r="AH53" t="s">
        <v>1477</v>
      </c>
      <c r="AI53" t="s">
        <v>1472</v>
      </c>
      <c r="AJ53" t="str">
        <f t="shared" si="0"/>
        <v>O22201 Principal</v>
      </c>
      <c r="AO53" s="796">
        <v>422201</v>
      </c>
      <c r="AP53" t="s">
        <v>1472</v>
      </c>
      <c r="AQ53" t="str">
        <f t="shared" si="1"/>
        <v>422201 Principal</v>
      </c>
    </row>
    <row r="54" spans="1:43" x14ac:dyDescent="0.3">
      <c r="A54" s="30"/>
      <c r="B54" s="30"/>
      <c r="C54" s="30"/>
      <c r="D54" s="30"/>
      <c r="E54" s="30"/>
      <c r="F54" s="775" t="s">
        <v>616</v>
      </c>
      <c r="G54" s="30" t="s">
        <v>596</v>
      </c>
      <c r="H54" s="30" t="s">
        <v>547</v>
      </c>
      <c r="I54" s="797"/>
      <c r="J54" s="30" t="s">
        <v>494</v>
      </c>
      <c r="K54" s="30"/>
      <c r="L54" s="30"/>
      <c r="M54" s="30"/>
      <c r="N54" s="30"/>
      <c r="O54" s="30"/>
      <c r="P54" s="30"/>
      <c r="Q54" s="30"/>
      <c r="R54" s="30"/>
      <c r="S54" s="30"/>
      <c r="T54" s="460"/>
      <c r="U54" s="257"/>
      <c r="V54" s="30"/>
      <c r="W54" s="30"/>
      <c r="X54" s="30"/>
      <c r="Y54" s="30"/>
      <c r="Z54" s="30"/>
      <c r="AA54" s="30"/>
      <c r="AB54" s="30"/>
      <c r="AC54" s="30"/>
      <c r="AD54" s="30"/>
      <c r="AE54" s="30"/>
      <c r="AF54" s="30"/>
      <c r="AG54" s="30"/>
      <c r="AH54" t="s">
        <v>1478</v>
      </c>
      <c r="AI54" t="s">
        <v>1474</v>
      </c>
      <c r="AJ54" t="str">
        <f t="shared" si="0"/>
        <v>O22202 Intereses</v>
      </c>
      <c r="AO54" s="796">
        <v>422202</v>
      </c>
      <c r="AP54" t="s">
        <v>1474</v>
      </c>
      <c r="AQ54" t="str">
        <f t="shared" si="1"/>
        <v>422202 Intereses</v>
      </c>
    </row>
    <row r="55" spans="1:43" x14ac:dyDescent="0.3">
      <c r="A55" s="30"/>
      <c r="B55" s="30"/>
      <c r="C55" s="30"/>
      <c r="D55" s="30"/>
      <c r="E55" s="30"/>
      <c r="F55" s="775" t="s">
        <v>617</v>
      </c>
      <c r="G55" s="30" t="s">
        <v>596</v>
      </c>
      <c r="H55" s="30" t="s">
        <v>496</v>
      </c>
      <c r="I55" s="797"/>
      <c r="J55" s="30" t="s">
        <v>494</v>
      </c>
      <c r="K55" s="30"/>
      <c r="L55" s="30"/>
      <c r="M55" s="30"/>
      <c r="N55" s="30"/>
      <c r="O55" s="30"/>
      <c r="P55" s="30"/>
      <c r="Q55" s="30"/>
      <c r="R55" s="30"/>
      <c r="S55" s="30"/>
      <c r="T55" s="460"/>
      <c r="U55" s="809"/>
      <c r="V55" s="30"/>
      <c r="W55" s="30"/>
      <c r="X55" s="30"/>
      <c r="Y55" s="30"/>
      <c r="Z55" s="30"/>
      <c r="AA55" s="30"/>
      <c r="AB55" s="30"/>
      <c r="AC55" s="30"/>
      <c r="AD55" s="30"/>
      <c r="AE55" s="30"/>
      <c r="AF55" s="30"/>
      <c r="AG55" s="30"/>
      <c r="AH55" t="s">
        <v>1479</v>
      </c>
      <c r="AI55" t="s">
        <v>1480</v>
      </c>
      <c r="AJ55" t="str">
        <f t="shared" si="0"/>
        <v>O22203 Comisiones y otros GASTOS</v>
      </c>
      <c r="AL55" s="792"/>
      <c r="AO55" s="796">
        <v>422203</v>
      </c>
      <c r="AP55" t="s">
        <v>1480</v>
      </c>
      <c r="AQ55" t="str">
        <f t="shared" si="1"/>
        <v>422203 Comisiones y otros GASTOS</v>
      </c>
    </row>
    <row r="56" spans="1:43" x14ac:dyDescent="0.3">
      <c r="A56" s="30"/>
      <c r="B56" s="30"/>
      <c r="C56" s="30"/>
      <c r="D56" s="30"/>
      <c r="E56" s="30"/>
      <c r="F56" s="775" t="s">
        <v>618</v>
      </c>
      <c r="G56" s="30" t="s">
        <v>596</v>
      </c>
      <c r="H56" s="30" t="s">
        <v>555</v>
      </c>
      <c r="I56" s="1583" t="s">
        <v>144</v>
      </c>
      <c r="J56" s="30" t="s">
        <v>494</v>
      </c>
      <c r="K56" s="30"/>
      <c r="L56" s="30"/>
      <c r="M56" s="30"/>
      <c r="N56" s="30"/>
      <c r="O56" s="30"/>
      <c r="P56" s="30"/>
      <c r="Q56" s="30"/>
      <c r="R56" s="30"/>
      <c r="S56" s="30"/>
      <c r="T56" s="810"/>
      <c r="U56" s="809"/>
      <c r="V56" s="30"/>
      <c r="W56" s="30"/>
      <c r="X56" s="30"/>
      <c r="Y56" s="30"/>
      <c r="Z56" s="30"/>
      <c r="AA56" s="30"/>
      <c r="AB56" s="30"/>
      <c r="AC56" s="30"/>
      <c r="AD56" s="30"/>
      <c r="AE56" s="30"/>
      <c r="AF56" s="30"/>
      <c r="AG56" s="30"/>
      <c r="AH56" s="795" t="s">
        <v>1481</v>
      </c>
      <c r="AI56" s="792" t="s">
        <v>1482</v>
      </c>
      <c r="AJ56" t="str">
        <f t="shared" si="0"/>
        <v>O23 INVERSIÓN</v>
      </c>
      <c r="AO56" s="795">
        <v>423</v>
      </c>
      <c r="AP56" s="792" t="s">
        <v>1482</v>
      </c>
      <c r="AQ56" t="str">
        <f t="shared" si="1"/>
        <v>423 INVERSIÓN</v>
      </c>
    </row>
    <row r="57" spans="1:43" x14ac:dyDescent="0.3">
      <c r="A57" s="30"/>
      <c r="B57" s="30"/>
      <c r="C57" s="30"/>
      <c r="D57" s="30"/>
      <c r="E57" s="30"/>
      <c r="F57" s="775" t="s">
        <v>619</v>
      </c>
      <c r="G57" s="30" t="s">
        <v>596</v>
      </c>
      <c r="H57" s="30" t="s">
        <v>559</v>
      </c>
      <c r="I57" s="797" t="s">
        <v>144</v>
      </c>
      <c r="J57" s="30" t="s">
        <v>494</v>
      </c>
      <c r="K57" s="30"/>
      <c r="L57" s="30"/>
      <c r="M57" s="30"/>
      <c r="N57" s="30"/>
      <c r="O57" s="30"/>
      <c r="P57" s="30"/>
      <c r="Q57" s="30"/>
      <c r="R57" s="30"/>
      <c r="S57" s="30"/>
      <c r="U57" s="809"/>
      <c r="V57" s="30"/>
      <c r="W57" s="30"/>
      <c r="X57" s="30"/>
      <c r="Y57" s="30"/>
      <c r="Z57" s="30"/>
      <c r="AA57" s="30"/>
      <c r="AB57" s="30"/>
      <c r="AC57" s="30"/>
      <c r="AD57" s="30"/>
      <c r="AE57" s="30"/>
      <c r="AF57" s="30"/>
      <c r="AG57" s="30"/>
      <c r="AH57" s="795" t="s">
        <v>1483</v>
      </c>
      <c r="AI57" s="792" t="s">
        <v>1484</v>
      </c>
      <c r="AJ57" t="str">
        <f t="shared" si="0"/>
        <v>O2301 Directa</v>
      </c>
      <c r="AO57" s="795">
        <v>42301</v>
      </c>
      <c r="AP57" s="792" t="s">
        <v>1484</v>
      </c>
      <c r="AQ57" t="str">
        <f t="shared" si="1"/>
        <v>42301 Directa</v>
      </c>
    </row>
    <row r="58" spans="1:43" x14ac:dyDescent="0.3">
      <c r="A58" s="30"/>
      <c r="B58" s="30"/>
      <c r="C58" s="30"/>
      <c r="D58" s="30"/>
      <c r="E58" s="30"/>
      <c r="F58" s="775" t="s">
        <v>393</v>
      </c>
      <c r="G58" s="30" t="s">
        <v>579</v>
      </c>
      <c r="H58" s="30" t="s">
        <v>541</v>
      </c>
      <c r="I58" s="797"/>
      <c r="J58" s="30" t="s">
        <v>494</v>
      </c>
      <c r="K58" s="30"/>
      <c r="L58" s="30"/>
      <c r="M58" s="30"/>
      <c r="N58" s="30"/>
      <c r="O58" s="30"/>
      <c r="P58" s="30"/>
      <c r="Q58" s="30"/>
      <c r="R58" s="30"/>
      <c r="S58" s="30"/>
      <c r="T58" s="460"/>
      <c r="U58" s="809"/>
      <c r="V58" s="30"/>
      <c r="W58" s="30"/>
      <c r="X58" s="30"/>
      <c r="Y58" s="30"/>
      <c r="Z58" s="30"/>
      <c r="AA58" s="30"/>
      <c r="AB58" s="30"/>
      <c r="AC58" s="30"/>
      <c r="AD58" s="30"/>
      <c r="AE58" s="30"/>
      <c r="AF58" s="30"/>
      <c r="AG58" s="30"/>
      <c r="AH58" t="s">
        <v>1485</v>
      </c>
      <c r="AI58" t="s">
        <v>1457</v>
      </c>
      <c r="AJ58" t="str">
        <f t="shared" si="0"/>
        <v>O233 Transferencias CORRIENTES</v>
      </c>
      <c r="AO58" s="796">
        <v>4233</v>
      </c>
      <c r="AP58" t="s">
        <v>1457</v>
      </c>
      <c r="AQ58" t="str">
        <f t="shared" si="1"/>
        <v>4233 Transferencias CORRIENTES</v>
      </c>
    </row>
    <row r="59" spans="1:43" x14ac:dyDescent="0.3">
      <c r="A59" s="30"/>
      <c r="B59" s="30"/>
      <c r="C59" s="30"/>
      <c r="D59" s="30"/>
      <c r="E59" s="30"/>
      <c r="F59" s="775" t="s">
        <v>394</v>
      </c>
      <c r="G59" s="30" t="s">
        <v>579</v>
      </c>
      <c r="H59" s="30" t="s">
        <v>550</v>
      </c>
      <c r="I59" s="797"/>
      <c r="J59" s="30" t="s">
        <v>494</v>
      </c>
      <c r="K59" s="30"/>
      <c r="L59" s="30"/>
      <c r="M59" s="30"/>
      <c r="N59" s="30"/>
      <c r="O59" s="30"/>
      <c r="P59" s="30"/>
      <c r="Q59" s="30"/>
      <c r="R59" s="30"/>
      <c r="S59" s="30"/>
      <c r="T59" s="460"/>
      <c r="U59" s="809"/>
      <c r="V59" s="30"/>
      <c r="W59" s="30"/>
      <c r="X59" s="30"/>
      <c r="Y59" s="30"/>
      <c r="Z59" s="30"/>
      <c r="AA59" s="30"/>
      <c r="AB59" s="30"/>
      <c r="AC59" s="30"/>
      <c r="AD59" s="30"/>
      <c r="AE59" s="30"/>
      <c r="AF59" s="30"/>
      <c r="AG59" s="30"/>
      <c r="AH59" t="s">
        <v>1486</v>
      </c>
      <c r="AI59" t="s">
        <v>1487</v>
      </c>
      <c r="AJ59" t="str">
        <f t="shared" si="0"/>
        <v>O23301 Subvenciones</v>
      </c>
      <c r="AO59" s="796">
        <v>423301</v>
      </c>
      <c r="AP59" t="s">
        <v>1487</v>
      </c>
      <c r="AQ59" t="str">
        <f t="shared" si="1"/>
        <v>423301 Subvenciones</v>
      </c>
    </row>
    <row r="60" spans="1:43" x14ac:dyDescent="0.3">
      <c r="A60" s="30"/>
      <c r="B60" s="30"/>
      <c r="C60" s="30"/>
      <c r="D60" s="30"/>
      <c r="E60" s="30"/>
      <c r="F60" s="775" t="s">
        <v>395</v>
      </c>
      <c r="G60" s="30" t="s">
        <v>579</v>
      </c>
      <c r="H60" s="30" t="s">
        <v>119</v>
      </c>
      <c r="I60" s="797"/>
      <c r="J60" s="30" t="s">
        <v>494</v>
      </c>
      <c r="K60" s="30"/>
      <c r="L60" s="30"/>
      <c r="M60" s="30"/>
      <c r="N60" s="30"/>
      <c r="O60" s="30"/>
      <c r="P60" s="30"/>
      <c r="Q60" s="30"/>
      <c r="R60" s="30"/>
      <c r="S60" s="30"/>
      <c r="U60" s="809"/>
      <c r="V60" s="30"/>
      <c r="W60" s="30"/>
      <c r="X60" s="30"/>
      <c r="Y60" s="30"/>
      <c r="Z60" s="30"/>
      <c r="AA60" s="30"/>
      <c r="AB60" s="30"/>
      <c r="AC60" s="30"/>
      <c r="AD60" s="30"/>
      <c r="AE60" s="30"/>
      <c r="AF60" s="30"/>
      <c r="AG60" s="30"/>
      <c r="AH60" t="s">
        <v>1488</v>
      </c>
      <c r="AI60" t="s">
        <v>1489</v>
      </c>
      <c r="AJ60" t="str">
        <f t="shared" si="0"/>
        <v>O23302 A empresas diferentes de subvenciones</v>
      </c>
      <c r="AL60" s="796"/>
      <c r="AM60" s="792"/>
      <c r="AO60" s="796">
        <v>423302</v>
      </c>
      <c r="AP60" t="s">
        <v>1489</v>
      </c>
      <c r="AQ60" t="str">
        <f t="shared" si="1"/>
        <v>423302 A empresas diferentes de subvenciones</v>
      </c>
    </row>
    <row r="61" spans="1:43" x14ac:dyDescent="0.3">
      <c r="A61" s="30"/>
      <c r="B61" s="30"/>
      <c r="C61" s="30"/>
      <c r="D61" s="30"/>
      <c r="E61" s="30"/>
      <c r="F61" s="775" t="s">
        <v>621</v>
      </c>
      <c r="G61" s="30" t="s">
        <v>596</v>
      </c>
      <c r="H61" s="30" t="s">
        <v>557</v>
      </c>
      <c r="I61" s="797"/>
      <c r="J61" s="30" t="s">
        <v>494</v>
      </c>
      <c r="K61" s="30"/>
      <c r="L61" s="30"/>
      <c r="M61" s="30"/>
      <c r="N61" s="30"/>
      <c r="O61" s="30"/>
      <c r="P61" s="30"/>
      <c r="Q61" s="30"/>
      <c r="R61" s="30"/>
      <c r="S61" s="30"/>
      <c r="T61" s="810" t="s">
        <v>1490</v>
      </c>
      <c r="U61" s="809"/>
      <c r="V61" s="30"/>
      <c r="W61" s="30"/>
      <c r="X61" s="30"/>
      <c r="Y61" s="30"/>
      <c r="Z61" s="30"/>
      <c r="AA61" s="30"/>
      <c r="AB61" s="30"/>
      <c r="AC61" s="30"/>
      <c r="AD61" s="30"/>
      <c r="AE61" s="30"/>
      <c r="AF61" s="30"/>
      <c r="AG61" s="30"/>
      <c r="AH61" t="s">
        <v>1491</v>
      </c>
      <c r="AI61" t="s">
        <v>1461</v>
      </c>
      <c r="AJ61" t="str">
        <f t="shared" si="0"/>
        <v>O23305 A entidades del gobierno</v>
      </c>
      <c r="AL61" s="796"/>
      <c r="AM61" s="792"/>
      <c r="AO61" s="796">
        <v>423305</v>
      </c>
      <c r="AP61" t="s">
        <v>1461</v>
      </c>
      <c r="AQ61" t="str">
        <f t="shared" si="1"/>
        <v>423305 A entidades del gobierno</v>
      </c>
    </row>
    <row r="62" spans="1:43" x14ac:dyDescent="0.3">
      <c r="A62" s="30"/>
      <c r="B62" s="30"/>
      <c r="C62" s="30"/>
      <c r="D62" s="30"/>
      <c r="E62" s="30"/>
      <c r="F62" s="775" t="s">
        <v>622</v>
      </c>
      <c r="G62" s="30" t="s">
        <v>626</v>
      </c>
      <c r="H62" s="30" t="s">
        <v>547</v>
      </c>
      <c r="I62" s="797"/>
      <c r="J62" s="30" t="s">
        <v>494</v>
      </c>
      <c r="K62" s="30"/>
      <c r="L62" s="30"/>
      <c r="M62" s="30"/>
      <c r="N62" s="30"/>
      <c r="O62" s="30"/>
      <c r="P62" s="30"/>
      <c r="Q62" s="30"/>
      <c r="R62" s="30"/>
      <c r="S62" s="30"/>
      <c r="T62" s="810" t="s">
        <v>1492</v>
      </c>
      <c r="U62" s="809"/>
      <c r="V62" s="30"/>
      <c r="W62" s="30"/>
      <c r="X62" s="30"/>
      <c r="Y62" s="30"/>
      <c r="Z62" s="30"/>
      <c r="AA62" s="30"/>
      <c r="AB62" s="30"/>
      <c r="AC62" s="30"/>
      <c r="AD62" s="30"/>
      <c r="AE62" s="30"/>
      <c r="AF62" s="30"/>
      <c r="AG62" s="30"/>
      <c r="AH62" t="s">
        <v>1493</v>
      </c>
      <c r="AI62" t="s">
        <v>1494</v>
      </c>
      <c r="AJ62" t="str">
        <f t="shared" si="0"/>
        <v>O23307 Prestaciones para cubrir riesgos sociales</v>
      </c>
      <c r="AL62" s="796"/>
      <c r="AM62" s="792"/>
      <c r="AO62" s="796">
        <v>423307</v>
      </c>
      <c r="AP62" t="s">
        <v>1494</v>
      </c>
      <c r="AQ62" t="str">
        <f t="shared" si="1"/>
        <v>423307 Prestaciones para cubrir riesgos sociales</v>
      </c>
    </row>
    <row r="63" spans="1:43" x14ac:dyDescent="0.3">
      <c r="A63" s="30"/>
      <c r="B63" s="30"/>
      <c r="C63" s="30"/>
      <c r="D63" s="30"/>
      <c r="E63" s="30"/>
      <c r="F63" s="775" t="s">
        <v>398</v>
      </c>
      <c r="G63" s="30" t="s">
        <v>628</v>
      </c>
      <c r="H63" s="30" t="s">
        <v>541</v>
      </c>
      <c r="I63" s="797"/>
      <c r="J63" s="30" t="s">
        <v>494</v>
      </c>
      <c r="K63" s="30"/>
      <c r="L63" s="30"/>
      <c r="M63" s="30"/>
      <c r="N63" s="30"/>
      <c r="O63" s="30"/>
      <c r="P63" s="30"/>
      <c r="Q63" s="30"/>
      <c r="R63" s="30"/>
      <c r="S63" s="30"/>
      <c r="T63" s="810" t="s">
        <v>1495</v>
      </c>
      <c r="U63" s="809"/>
      <c r="V63" s="30"/>
      <c r="W63" s="30"/>
      <c r="X63" s="30"/>
      <c r="Y63" s="30"/>
      <c r="Z63" s="30"/>
      <c r="AA63" s="30"/>
      <c r="AB63" s="30"/>
      <c r="AC63" s="30"/>
      <c r="AD63" s="30"/>
      <c r="AE63" s="30"/>
      <c r="AF63" s="30"/>
      <c r="AG63" s="30"/>
      <c r="AH63" t="s">
        <v>1496</v>
      </c>
      <c r="AI63" t="s">
        <v>1497</v>
      </c>
      <c r="AJ63" t="str">
        <f t="shared" si="0"/>
        <v>O23313 Sentencias y conciliaciones</v>
      </c>
      <c r="AL63" s="796"/>
      <c r="AM63" s="792"/>
      <c r="AO63" s="796">
        <v>423313</v>
      </c>
      <c r="AP63" t="s">
        <v>1497</v>
      </c>
      <c r="AQ63" t="str">
        <f t="shared" si="1"/>
        <v>423313 Sentencias y conciliaciones</v>
      </c>
    </row>
    <row r="64" spans="1:43" x14ac:dyDescent="0.3">
      <c r="A64" s="30"/>
      <c r="B64" s="30"/>
      <c r="C64" s="30"/>
      <c r="D64" s="30"/>
      <c r="E64" s="30"/>
      <c r="F64" s="775" t="s">
        <v>399</v>
      </c>
      <c r="G64" s="30" t="s">
        <v>628</v>
      </c>
      <c r="H64" s="30" t="s">
        <v>559</v>
      </c>
      <c r="I64" s="797" t="s">
        <v>144</v>
      </c>
      <c r="J64" s="30" t="s">
        <v>494</v>
      </c>
      <c r="K64" s="30"/>
      <c r="L64" s="30"/>
      <c r="M64" s="30"/>
      <c r="N64" s="30"/>
      <c r="O64" s="30"/>
      <c r="P64" s="30"/>
      <c r="Q64" s="30"/>
      <c r="R64" s="30"/>
      <c r="S64" s="30"/>
      <c r="T64" s="810" t="s">
        <v>1498</v>
      </c>
      <c r="U64" s="809"/>
      <c r="V64" s="30"/>
      <c r="W64" s="30"/>
      <c r="X64" s="30"/>
      <c r="Y64" s="30"/>
      <c r="Z64" s="30"/>
      <c r="AA64" s="30"/>
      <c r="AB64" s="30"/>
      <c r="AC64" s="30"/>
      <c r="AD64" s="30"/>
      <c r="AE64" s="30"/>
      <c r="AF64" s="30"/>
      <c r="AG64" s="30"/>
      <c r="AH64" t="s">
        <v>1499</v>
      </c>
      <c r="AI64" t="s">
        <v>1500</v>
      </c>
      <c r="AJ64" t="str">
        <f t="shared" si="0"/>
        <v>O234 Transferencias para INVERSIÓN</v>
      </c>
      <c r="AL64" s="796"/>
      <c r="AM64" s="792"/>
      <c r="AO64" s="796">
        <v>4234</v>
      </c>
      <c r="AP64" t="s">
        <v>1500</v>
      </c>
      <c r="AQ64" t="str">
        <f t="shared" si="1"/>
        <v>4234 Transferencias para INVERSIÓN</v>
      </c>
    </row>
    <row r="65" spans="1:43" x14ac:dyDescent="0.3">
      <c r="A65" s="30"/>
      <c r="B65" s="30"/>
      <c r="C65" s="30"/>
      <c r="D65" s="30"/>
      <c r="E65" s="30"/>
      <c r="F65" s="775" t="s">
        <v>400</v>
      </c>
      <c r="G65" s="30" t="s">
        <v>628</v>
      </c>
      <c r="H65" s="30" t="s">
        <v>550</v>
      </c>
      <c r="I65" s="797"/>
      <c r="J65" s="30" t="s">
        <v>494</v>
      </c>
      <c r="K65" s="30"/>
      <c r="L65" s="30"/>
      <c r="M65" s="30"/>
      <c r="N65" s="30"/>
      <c r="O65" s="30"/>
      <c r="P65" s="30"/>
      <c r="Q65" s="30"/>
      <c r="R65" s="30"/>
      <c r="S65" s="30"/>
      <c r="T65" s="810" t="s">
        <v>1501</v>
      </c>
      <c r="U65" s="809"/>
      <c r="V65" s="30"/>
      <c r="W65" s="30"/>
      <c r="X65" s="30"/>
      <c r="Y65" s="30"/>
      <c r="Z65" s="30"/>
      <c r="AA65" s="30"/>
      <c r="AB65" s="30"/>
      <c r="AC65" s="30"/>
      <c r="AD65" s="30"/>
      <c r="AE65" s="30"/>
      <c r="AF65" s="30"/>
      <c r="AG65" s="30"/>
      <c r="AH65" t="s">
        <v>1502</v>
      </c>
      <c r="AI65" t="s">
        <v>1503</v>
      </c>
      <c r="AJ65" t="str">
        <f t="shared" si="0"/>
        <v>O23401 Transferencia Distrital</v>
      </c>
      <c r="AO65" s="796">
        <v>423401</v>
      </c>
      <c r="AP65" t="s">
        <v>1503</v>
      </c>
      <c r="AQ65" t="str">
        <f t="shared" si="1"/>
        <v>423401 Transferencia Distrital</v>
      </c>
    </row>
    <row r="66" spans="1:43" x14ac:dyDescent="0.3">
      <c r="A66" s="30"/>
      <c r="B66" s="30"/>
      <c r="C66" s="30"/>
      <c r="D66" s="30"/>
      <c r="E66" s="30"/>
      <c r="F66" s="775" t="s">
        <v>401</v>
      </c>
      <c r="G66" s="30" t="s">
        <v>628</v>
      </c>
      <c r="H66" s="30" t="s">
        <v>557</v>
      </c>
      <c r="I66" s="797"/>
      <c r="J66" s="30" t="s">
        <v>494</v>
      </c>
      <c r="K66" s="30"/>
      <c r="L66" s="30"/>
      <c r="M66" s="30"/>
      <c r="N66" s="30"/>
      <c r="O66" s="30"/>
      <c r="P66" s="30"/>
      <c r="Q66" s="30"/>
      <c r="R66" s="30"/>
      <c r="S66" s="30"/>
      <c r="T66" s="810" t="s">
        <v>1504</v>
      </c>
      <c r="U66" s="809"/>
      <c r="V66" s="30"/>
      <c r="W66" s="30"/>
      <c r="X66" s="30"/>
      <c r="Y66" s="30"/>
      <c r="Z66" s="30"/>
      <c r="AA66" s="30"/>
      <c r="AB66" s="1634" t="s">
        <v>1505</v>
      </c>
      <c r="AC66" s="1634"/>
      <c r="AD66" s="30"/>
      <c r="AE66" s="30"/>
      <c r="AF66" s="30"/>
      <c r="AG66" s="30"/>
      <c r="AH66" s="795" t="s">
        <v>1506</v>
      </c>
      <c r="AI66" s="792" t="s">
        <v>1507</v>
      </c>
      <c r="AJ66" t="str">
        <f t="shared" si="0"/>
        <v>O4 DISPONIBILIDAD FINAL</v>
      </c>
      <c r="AO66" s="795">
        <v>44</v>
      </c>
      <c r="AP66" s="792" t="s">
        <v>1507</v>
      </c>
      <c r="AQ66" t="str">
        <f t="shared" si="1"/>
        <v>44 DISPONIBILIDAD FINAL</v>
      </c>
    </row>
    <row r="67" spans="1:43" x14ac:dyDescent="0.3">
      <c r="A67" s="30"/>
      <c r="B67" s="30"/>
      <c r="C67" s="30"/>
      <c r="D67" s="30"/>
      <c r="E67" s="30"/>
      <c r="F67" s="775" t="s">
        <v>402</v>
      </c>
      <c r="G67" s="30" t="s">
        <v>600</v>
      </c>
      <c r="H67" s="30" t="s">
        <v>119</v>
      </c>
      <c r="I67" s="797"/>
      <c r="J67" s="30" t="s">
        <v>494</v>
      </c>
      <c r="K67" s="30"/>
      <c r="L67" s="30"/>
      <c r="M67" s="30"/>
      <c r="N67" s="30"/>
      <c r="O67" s="30"/>
      <c r="P67" s="30"/>
      <c r="Q67" s="30"/>
      <c r="R67" s="30"/>
      <c r="S67" s="30"/>
      <c r="U67" s="809"/>
      <c r="V67" s="30"/>
      <c r="W67" s="30"/>
      <c r="X67" s="30"/>
      <c r="Y67" s="30"/>
      <c r="Z67" s="30"/>
      <c r="AA67" s="30"/>
      <c r="AB67" s="30"/>
      <c r="AC67" s="30"/>
      <c r="AD67" s="30"/>
      <c r="AE67" s="30"/>
      <c r="AF67" s="30"/>
      <c r="AG67" s="30"/>
      <c r="AJ67" t="str">
        <f t="shared" si="0"/>
        <v xml:space="preserve"> </v>
      </c>
      <c r="AQ67" t="str">
        <f t="shared" si="1"/>
        <v xml:space="preserve"> </v>
      </c>
    </row>
    <row r="68" spans="1:43" x14ac:dyDescent="0.3">
      <c r="A68" s="30"/>
      <c r="B68" s="30"/>
      <c r="C68" s="30"/>
      <c r="D68" s="30"/>
      <c r="E68" s="30"/>
      <c r="F68" s="775" t="s">
        <v>403</v>
      </c>
      <c r="G68" s="30" t="s">
        <v>628</v>
      </c>
      <c r="H68" s="30" t="s">
        <v>119</v>
      </c>
      <c r="I68" s="797"/>
      <c r="J68" s="30" t="s">
        <v>494</v>
      </c>
      <c r="K68" s="30"/>
      <c r="L68" s="30"/>
      <c r="M68" s="30"/>
      <c r="N68" s="30"/>
      <c r="O68" s="30"/>
      <c r="P68" s="30"/>
      <c r="Q68" s="30"/>
      <c r="R68" s="30"/>
      <c r="S68" s="30"/>
      <c r="U68" s="809"/>
      <c r="V68" s="30"/>
      <c r="W68" s="30"/>
      <c r="X68" s="30"/>
      <c r="Y68" s="30"/>
      <c r="Z68" s="30"/>
      <c r="AA68" s="30"/>
      <c r="AB68" s="811" t="s">
        <v>804</v>
      </c>
      <c r="AC68" s="426" t="s">
        <v>805</v>
      </c>
      <c r="AE68" s="30"/>
      <c r="AF68" s="30"/>
      <c r="AG68" s="30"/>
      <c r="AH68" s="792" t="s">
        <v>1508</v>
      </c>
      <c r="AJ68" t="str">
        <f t="shared" si="0"/>
        <v xml:space="preserve">CÓDIGO OTROS GASTOS </v>
      </c>
      <c r="AO68" s="792" t="s">
        <v>1508</v>
      </c>
      <c r="AQ68" t="str">
        <f t="shared" si="1"/>
        <v xml:space="preserve">CÓDIGO OTROS GASTOS </v>
      </c>
    </row>
    <row r="69" spans="1:43" ht="14.7" customHeight="1" x14ac:dyDescent="0.3">
      <c r="A69" s="30"/>
      <c r="B69" s="30"/>
      <c r="C69" s="30"/>
      <c r="D69" s="30"/>
      <c r="E69" s="30"/>
      <c r="F69" s="775" t="s">
        <v>404</v>
      </c>
      <c r="G69" s="30" t="s">
        <v>628</v>
      </c>
      <c r="H69" s="30" t="s">
        <v>550</v>
      </c>
      <c r="I69" s="797"/>
      <c r="J69" s="30" t="s">
        <v>494</v>
      </c>
      <c r="K69" s="30"/>
      <c r="L69" s="30"/>
      <c r="M69" s="30"/>
      <c r="N69" s="30"/>
      <c r="O69" s="30"/>
      <c r="P69" s="30"/>
      <c r="Q69" s="30"/>
      <c r="R69" s="30"/>
      <c r="S69" s="30"/>
      <c r="U69" s="809"/>
      <c r="V69" s="30"/>
      <c r="W69" s="30"/>
      <c r="X69" s="30"/>
      <c r="Y69" s="30"/>
      <c r="Z69" s="30"/>
      <c r="AA69" s="30"/>
      <c r="AB69" s="812" t="s">
        <v>808</v>
      </c>
      <c r="AC69" s="813" t="s">
        <v>809</v>
      </c>
      <c r="AE69" s="30"/>
      <c r="AF69" s="30"/>
      <c r="AG69" s="30"/>
      <c r="AJ69" t="str">
        <f t="shared" ref="AJ69:AJ77" si="2">CONCATENATE(AH69," ",AI69)</f>
        <v xml:space="preserve"> </v>
      </c>
      <c r="AQ69" t="str">
        <f t="shared" ref="AQ69:AQ77" si="3">CONCATENATE(AO69," ",AP69)</f>
        <v xml:space="preserve"> </v>
      </c>
    </row>
    <row r="70" spans="1:43" ht="18.75" customHeight="1" x14ac:dyDescent="0.3">
      <c r="A70" s="30"/>
      <c r="B70" s="30"/>
      <c r="C70" s="30"/>
      <c r="D70" s="30"/>
      <c r="E70" s="30"/>
      <c r="F70" s="1587" t="s">
        <v>629</v>
      </c>
      <c r="G70" s="300" t="s">
        <v>624</v>
      </c>
      <c r="H70" s="30" t="s">
        <v>550</v>
      </c>
      <c r="I70" s="797" t="s">
        <v>1351</v>
      </c>
      <c r="J70" s="30"/>
      <c r="K70" s="30"/>
      <c r="L70" s="30"/>
      <c r="M70" s="30"/>
      <c r="N70" s="30"/>
      <c r="O70" s="30"/>
      <c r="P70" s="30"/>
      <c r="Q70" s="30"/>
      <c r="R70" s="30"/>
      <c r="S70" s="30"/>
      <c r="U70" s="809"/>
      <c r="V70" s="30"/>
      <c r="W70" s="30"/>
      <c r="X70" s="30"/>
      <c r="Y70" s="30"/>
      <c r="Z70" s="30"/>
      <c r="AA70" s="30"/>
      <c r="AB70" s="812" t="s">
        <v>1509</v>
      </c>
      <c r="AC70" s="814" t="s">
        <v>810</v>
      </c>
      <c r="AE70" s="30"/>
      <c r="AF70" s="30"/>
      <c r="AG70" s="30"/>
      <c r="AH70" s="796">
        <v>45</v>
      </c>
      <c r="AI70" s="792" t="s">
        <v>808</v>
      </c>
      <c r="AJ70" t="str">
        <f>CONCATENATE(AH70," ",AI70)</f>
        <v>45 GASTOS DE COMERCIALIZACIÓN Y PRODUCCIÓN</v>
      </c>
      <c r="AO70" s="796">
        <v>45</v>
      </c>
      <c r="AP70" s="792" t="s">
        <v>808</v>
      </c>
      <c r="AQ70" t="str">
        <f t="shared" si="3"/>
        <v>45 GASTOS DE COMERCIALIZACIÓN Y PRODUCCIÓN</v>
      </c>
    </row>
    <row r="71" spans="1:43" x14ac:dyDescent="0.3">
      <c r="A71" s="30"/>
      <c r="B71" s="30"/>
      <c r="C71" s="30"/>
      <c r="D71" s="30"/>
      <c r="E71" s="30"/>
      <c r="F71" s="775" t="s">
        <v>120</v>
      </c>
      <c r="G71" s="30" t="s">
        <v>635</v>
      </c>
      <c r="H71" s="30" t="s">
        <v>119</v>
      </c>
      <c r="I71" s="797" t="s">
        <v>1351</v>
      </c>
      <c r="J71" s="30"/>
      <c r="K71" s="30"/>
      <c r="L71" s="30"/>
      <c r="M71" s="30"/>
      <c r="N71" s="30"/>
      <c r="O71" s="30"/>
      <c r="P71" s="30"/>
      <c r="Q71" s="30"/>
      <c r="R71" s="30"/>
      <c r="S71" s="30"/>
      <c r="U71" s="809"/>
      <c r="V71" s="30"/>
      <c r="W71" s="30"/>
      <c r="X71" s="30"/>
      <c r="Y71" s="30"/>
      <c r="Z71" s="30"/>
      <c r="AA71" s="30"/>
      <c r="AB71" s="815"/>
      <c r="AC71" s="813" t="s">
        <v>1449</v>
      </c>
      <c r="AD71" s="30"/>
      <c r="AE71" s="30"/>
      <c r="AF71" s="30"/>
      <c r="AG71" s="30"/>
      <c r="AH71" s="796">
        <v>4501</v>
      </c>
      <c r="AI71" s="792" t="s">
        <v>808</v>
      </c>
      <c r="AJ71" t="str">
        <f t="shared" si="2"/>
        <v>4501 GASTOS DE COMERCIALIZACIÓN Y PRODUCCIÓN</v>
      </c>
      <c r="AO71" s="796">
        <v>4501</v>
      </c>
      <c r="AP71" s="792" t="s">
        <v>808</v>
      </c>
      <c r="AQ71" t="str">
        <f t="shared" si="3"/>
        <v>4501 GASTOS DE COMERCIALIZACIÓN Y PRODUCCIÓN</v>
      </c>
    </row>
    <row r="72" spans="1:43" x14ac:dyDescent="0.3">
      <c r="A72" s="30"/>
      <c r="B72" s="30"/>
      <c r="C72" s="30"/>
      <c r="D72" s="30"/>
      <c r="E72" s="30"/>
      <c r="F72" s="775" t="s">
        <v>632</v>
      </c>
      <c r="G72" s="30" t="s">
        <v>485</v>
      </c>
      <c r="H72" s="30" t="s">
        <v>530</v>
      </c>
      <c r="I72" s="797"/>
      <c r="J72" s="30" t="s">
        <v>494</v>
      </c>
      <c r="K72" s="30"/>
      <c r="L72" s="30"/>
      <c r="M72" s="30"/>
      <c r="N72" s="30"/>
      <c r="O72" s="30"/>
      <c r="P72" s="30"/>
      <c r="Q72" s="30"/>
      <c r="R72" s="30"/>
      <c r="S72" s="30"/>
      <c r="T72" s="30"/>
      <c r="U72" s="809"/>
      <c r="V72" s="30"/>
      <c r="W72" s="30"/>
      <c r="X72" s="30"/>
      <c r="Y72" s="30"/>
      <c r="Z72" s="30"/>
      <c r="AA72" s="30"/>
      <c r="AB72" s="815"/>
      <c r="AC72" s="815"/>
      <c r="AD72" s="30"/>
      <c r="AE72" s="30"/>
      <c r="AF72" s="30"/>
      <c r="AG72" s="30"/>
      <c r="AH72" s="796">
        <v>450101</v>
      </c>
      <c r="AI72" t="s">
        <v>1637</v>
      </c>
      <c r="AJ72" t="str">
        <f t="shared" si="2"/>
        <v>450101 Materiales y suministros</v>
      </c>
      <c r="AO72" s="796">
        <v>450101</v>
      </c>
      <c r="AP72" t="s">
        <v>1637</v>
      </c>
      <c r="AQ72" t="str">
        <f t="shared" si="3"/>
        <v>450101 Materiales y suministros</v>
      </c>
    </row>
    <row r="73" spans="1:43" ht="22.5" customHeight="1" x14ac:dyDescent="0.3">
      <c r="A73" s="30"/>
      <c r="B73" s="30"/>
      <c r="C73" s="30"/>
      <c r="D73" s="30"/>
      <c r="E73" s="30"/>
      <c r="F73" s="775" t="s">
        <v>406</v>
      </c>
      <c r="G73" s="30" t="s">
        <v>628</v>
      </c>
      <c r="H73" s="30" t="s">
        <v>550</v>
      </c>
      <c r="I73" s="797" t="s">
        <v>1351</v>
      </c>
      <c r="J73" s="30"/>
      <c r="K73" s="30"/>
      <c r="L73" s="30"/>
      <c r="M73" s="30"/>
      <c r="N73" s="30"/>
      <c r="O73" s="30"/>
      <c r="P73" s="30"/>
      <c r="Q73" s="30"/>
      <c r="R73" s="30"/>
      <c r="S73" s="30"/>
      <c r="T73" s="30"/>
      <c r="U73" s="809"/>
      <c r="V73" s="30"/>
      <c r="W73" s="30"/>
      <c r="X73" s="30"/>
      <c r="Y73" s="30"/>
      <c r="Z73" s="30"/>
      <c r="AA73" s="30"/>
      <c r="AB73" s="816" t="s">
        <v>811</v>
      </c>
      <c r="AC73" s="815"/>
      <c r="AD73" s="30"/>
      <c r="AE73" s="30"/>
      <c r="AF73" s="30"/>
      <c r="AG73" s="30"/>
      <c r="AH73" s="796">
        <v>16</v>
      </c>
      <c r="AI73" s="792" t="s">
        <v>811</v>
      </c>
      <c r="AJ73" t="str">
        <f t="shared" si="2"/>
        <v>16 RESERVAS PRESUPUESTALES CONSTITUIDAS</v>
      </c>
      <c r="AO73" s="796"/>
      <c r="AP73" s="792" t="s">
        <v>811</v>
      </c>
      <c r="AQ73" t="str">
        <f t="shared" si="3"/>
        <v xml:space="preserve"> RESERVAS PRESUPUESTALES CONSTITUIDAS</v>
      </c>
    </row>
    <row r="74" spans="1:43" x14ac:dyDescent="0.3">
      <c r="A74" s="30"/>
      <c r="B74" s="30"/>
      <c r="C74" s="30"/>
      <c r="D74" s="30"/>
      <c r="E74" s="30"/>
      <c r="F74" s="775" t="s">
        <v>407</v>
      </c>
      <c r="G74" s="30" t="s">
        <v>1449</v>
      </c>
      <c r="H74" s="30" t="s">
        <v>555</v>
      </c>
      <c r="I74" s="797" t="s">
        <v>1351</v>
      </c>
      <c r="J74" s="30"/>
      <c r="K74" s="30"/>
      <c r="L74" s="30"/>
      <c r="M74" s="30"/>
      <c r="N74" s="30"/>
      <c r="O74" s="30"/>
      <c r="P74" s="30"/>
      <c r="Q74" s="30"/>
      <c r="R74" s="30"/>
      <c r="S74" s="30"/>
      <c r="T74" s="30"/>
      <c r="U74" s="30"/>
      <c r="V74" s="30"/>
      <c r="W74" s="30"/>
      <c r="X74" s="30"/>
      <c r="Y74" s="30"/>
      <c r="Z74" s="30"/>
      <c r="AA74" s="30"/>
      <c r="AB74" s="816" t="s">
        <v>1509</v>
      </c>
      <c r="AC74" s="628"/>
      <c r="AD74" s="30"/>
      <c r="AE74" s="30"/>
      <c r="AF74" s="30"/>
      <c r="AG74" s="30"/>
      <c r="AH74" s="796">
        <v>17</v>
      </c>
      <c r="AI74" s="792" t="s">
        <v>812</v>
      </c>
      <c r="AJ74" t="str">
        <f t="shared" si="2"/>
        <v>17 CUENTAS POR PAGAR</v>
      </c>
      <c r="AO74" s="796"/>
      <c r="AP74" s="792" t="s">
        <v>812</v>
      </c>
      <c r="AQ74" t="str">
        <f t="shared" si="3"/>
        <v xml:space="preserve"> CUENTAS POR PAGAR</v>
      </c>
    </row>
    <row r="75" spans="1:43" x14ac:dyDescent="0.3">
      <c r="A75" s="30"/>
      <c r="B75" s="30"/>
      <c r="C75" s="30"/>
      <c r="D75" s="30"/>
      <c r="E75" s="30"/>
      <c r="F75" s="775" t="s">
        <v>408</v>
      </c>
      <c r="G75" s="30" t="s">
        <v>485</v>
      </c>
      <c r="H75" s="30" t="s">
        <v>535</v>
      </c>
      <c r="I75" s="797"/>
      <c r="J75" s="30" t="s">
        <v>494</v>
      </c>
      <c r="K75" s="30"/>
      <c r="L75" s="30"/>
      <c r="M75" s="30"/>
      <c r="N75" s="30"/>
      <c r="O75" s="30"/>
      <c r="P75" s="30"/>
      <c r="Q75" s="30"/>
      <c r="R75" s="30"/>
      <c r="S75" s="30"/>
      <c r="T75" s="30"/>
      <c r="U75" s="30"/>
      <c r="V75" s="30"/>
      <c r="W75" s="30"/>
      <c r="X75" s="30"/>
      <c r="Y75" s="30"/>
      <c r="Z75" s="30"/>
      <c r="AA75" s="30"/>
      <c r="AB75" s="817"/>
      <c r="AC75" s="815"/>
      <c r="AD75" s="30"/>
      <c r="AE75" s="30"/>
      <c r="AF75" s="30"/>
      <c r="AG75" s="30"/>
      <c r="AH75" s="796">
        <v>18</v>
      </c>
      <c r="AI75" s="792" t="s">
        <v>813</v>
      </c>
      <c r="AJ75" t="str">
        <f t="shared" si="2"/>
        <v>18 OBLIGACIONES POR PAGAR</v>
      </c>
      <c r="AP75" s="792" t="s">
        <v>813</v>
      </c>
      <c r="AQ75" t="str">
        <f t="shared" si="3"/>
        <v xml:space="preserve"> OBLIGACIONES POR PAGAR</v>
      </c>
    </row>
    <row r="76" spans="1:43" x14ac:dyDescent="0.3">
      <c r="A76" s="30"/>
      <c r="B76" s="30"/>
      <c r="C76" s="30"/>
      <c r="D76" s="30"/>
      <c r="E76" s="30"/>
      <c r="F76" s="775" t="s">
        <v>409</v>
      </c>
      <c r="G76" s="30" t="s">
        <v>637</v>
      </c>
      <c r="H76" s="30" t="s">
        <v>483</v>
      </c>
      <c r="I76" s="797"/>
      <c r="J76" s="30" t="s">
        <v>494</v>
      </c>
      <c r="K76" s="30"/>
      <c r="L76" s="30"/>
      <c r="M76" s="30"/>
      <c r="N76" s="30"/>
      <c r="O76" s="30"/>
      <c r="P76" s="30"/>
      <c r="Q76" s="30"/>
      <c r="R76" s="30"/>
      <c r="S76" s="30"/>
      <c r="T76" s="30"/>
      <c r="U76" s="30"/>
      <c r="V76" s="30"/>
      <c r="W76" s="30"/>
      <c r="X76" s="30"/>
      <c r="Y76" s="30"/>
      <c r="Z76" s="30"/>
      <c r="AA76" s="30"/>
      <c r="AB76" s="816" t="s">
        <v>812</v>
      </c>
      <c r="AC76" s="815"/>
      <c r="AD76" s="30"/>
      <c r="AE76" s="30"/>
      <c r="AF76" s="30"/>
      <c r="AG76" s="30"/>
      <c r="AH76" s="796">
        <v>19</v>
      </c>
      <c r="AI76" s="792" t="s">
        <v>520</v>
      </c>
      <c r="AJ76" t="str">
        <f t="shared" si="2"/>
        <v>19 PASIVOS EXIGIBLES</v>
      </c>
      <c r="AP76" s="792" t="s">
        <v>520</v>
      </c>
      <c r="AQ76" t="str">
        <f t="shared" si="3"/>
        <v xml:space="preserve"> PASIVOS EXIGIBLES</v>
      </c>
    </row>
    <row r="77" spans="1:43" x14ac:dyDescent="0.3">
      <c r="A77" s="30"/>
      <c r="B77" s="30"/>
      <c r="C77" s="30"/>
      <c r="D77" s="30"/>
      <c r="E77" s="30"/>
      <c r="F77" s="775" t="s">
        <v>410</v>
      </c>
      <c r="G77" s="30" t="s">
        <v>637</v>
      </c>
      <c r="H77" s="30" t="s">
        <v>483</v>
      </c>
      <c r="I77" s="797"/>
      <c r="J77" s="30" t="s">
        <v>494</v>
      </c>
      <c r="K77" s="30"/>
      <c r="L77" s="30"/>
      <c r="M77" s="30"/>
      <c r="N77" s="30"/>
      <c r="O77" s="30"/>
      <c r="P77" s="30"/>
      <c r="Q77" s="30"/>
      <c r="R77" s="30"/>
      <c r="S77" s="30"/>
      <c r="T77" s="30"/>
      <c r="U77" s="30"/>
      <c r="V77" s="30"/>
      <c r="W77" s="30"/>
      <c r="X77" s="30"/>
      <c r="Y77" s="30"/>
      <c r="Z77" s="30"/>
      <c r="AA77" s="30"/>
      <c r="AB77" s="816" t="s">
        <v>1509</v>
      </c>
      <c r="AC77" s="815"/>
      <c r="AD77" s="30"/>
      <c r="AE77" s="30"/>
      <c r="AF77" s="30"/>
      <c r="AG77" s="30"/>
      <c r="AH77" s="796">
        <v>20</v>
      </c>
      <c r="AI77" s="792" t="s">
        <v>527</v>
      </c>
      <c r="AJ77" t="str">
        <f t="shared" si="2"/>
        <v>20 VIGENCIAS FUTURAS</v>
      </c>
      <c r="AP77" s="792" t="s">
        <v>527</v>
      </c>
      <c r="AQ77" t="str">
        <f t="shared" si="3"/>
        <v xml:space="preserve"> VIGENCIAS FUTURAS</v>
      </c>
    </row>
    <row r="78" spans="1:43" x14ac:dyDescent="0.3">
      <c r="A78" s="30"/>
      <c r="B78" s="30"/>
      <c r="C78" s="30"/>
      <c r="D78" s="30"/>
      <c r="E78" s="30"/>
      <c r="F78" s="775" t="s">
        <v>411</v>
      </c>
      <c r="G78" s="30" t="s">
        <v>637</v>
      </c>
      <c r="H78" s="30" t="s">
        <v>483</v>
      </c>
      <c r="I78" s="797"/>
      <c r="J78" s="30" t="s">
        <v>494</v>
      </c>
      <c r="K78" s="30"/>
      <c r="L78" s="30"/>
      <c r="M78" s="30"/>
      <c r="N78" s="30"/>
      <c r="O78" s="30"/>
      <c r="P78" s="30"/>
      <c r="Q78" s="30"/>
      <c r="R78" s="30"/>
      <c r="S78" s="30"/>
      <c r="T78" s="30"/>
      <c r="U78" s="30"/>
      <c r="V78" s="30"/>
      <c r="W78" s="30"/>
      <c r="X78" s="30"/>
      <c r="Y78" s="30"/>
      <c r="Z78" s="30"/>
      <c r="AA78" s="30"/>
      <c r="AB78" s="817"/>
      <c r="AC78" s="815"/>
      <c r="AD78" s="30"/>
      <c r="AE78" s="30"/>
      <c r="AF78" s="30"/>
      <c r="AG78" s="30"/>
      <c r="AH78" s="796"/>
      <c r="AI78" s="792"/>
    </row>
    <row r="79" spans="1:43" x14ac:dyDescent="0.3">
      <c r="A79" s="30"/>
      <c r="B79" s="30"/>
      <c r="C79" s="30"/>
      <c r="D79" s="30"/>
      <c r="E79" s="30"/>
      <c r="F79" s="775" t="s">
        <v>412</v>
      </c>
      <c r="G79" s="30" t="s">
        <v>637</v>
      </c>
      <c r="H79" s="30" t="s">
        <v>483</v>
      </c>
      <c r="I79" s="797"/>
      <c r="J79" s="30" t="s">
        <v>494</v>
      </c>
      <c r="K79" s="30"/>
      <c r="L79" s="30"/>
      <c r="M79" s="30"/>
      <c r="N79" s="30"/>
      <c r="O79" s="30"/>
      <c r="P79" s="30"/>
      <c r="Q79" s="30"/>
      <c r="R79" s="30"/>
      <c r="S79" s="30"/>
      <c r="T79" s="30"/>
      <c r="U79" s="30"/>
      <c r="V79" s="30"/>
      <c r="W79" s="30"/>
      <c r="X79" s="30"/>
      <c r="Y79" s="30"/>
      <c r="Z79" s="30"/>
      <c r="AA79" s="30"/>
      <c r="AB79" s="817"/>
      <c r="AC79" s="815"/>
      <c r="AD79" s="30"/>
      <c r="AE79" s="30"/>
      <c r="AF79" s="30"/>
      <c r="AG79" s="30"/>
    </row>
    <row r="80" spans="1:43" ht="28.8" x14ac:dyDescent="0.3">
      <c r="A80" s="30"/>
      <c r="B80" s="30"/>
      <c r="C80" s="30"/>
      <c r="D80" s="30"/>
      <c r="E80" s="30"/>
      <c r="F80" s="775" t="s">
        <v>413</v>
      </c>
      <c r="G80" s="30" t="s">
        <v>633</v>
      </c>
      <c r="H80" s="30" t="s">
        <v>483</v>
      </c>
      <c r="I80" s="797"/>
      <c r="J80" s="30" t="s">
        <v>494</v>
      </c>
      <c r="K80" s="30"/>
      <c r="L80" s="30"/>
      <c r="M80" s="30"/>
      <c r="N80" s="30"/>
      <c r="O80" s="30"/>
      <c r="P80" s="30"/>
      <c r="Q80" s="30"/>
      <c r="R80" s="30"/>
      <c r="S80" s="30"/>
      <c r="T80" s="30"/>
      <c r="U80" s="30"/>
      <c r="V80" s="30"/>
      <c r="W80" s="30"/>
      <c r="X80" s="30"/>
      <c r="Y80" s="30"/>
      <c r="Z80" s="30"/>
      <c r="AA80" s="30"/>
      <c r="AB80" s="816" t="s">
        <v>813</v>
      </c>
      <c r="AC80" s="815"/>
      <c r="AD80" s="30"/>
      <c r="AE80" s="30"/>
      <c r="AF80" s="30" t="s">
        <v>1576</v>
      </c>
      <c r="AG80" s="30"/>
    </row>
    <row r="81" spans="1:33" x14ac:dyDescent="0.3">
      <c r="A81" s="30"/>
      <c r="B81" s="30"/>
      <c r="C81" s="30"/>
      <c r="D81" s="30"/>
      <c r="E81" s="30"/>
      <c r="F81" s="775" t="s">
        <v>638</v>
      </c>
      <c r="G81" s="30" t="s">
        <v>596</v>
      </c>
      <c r="H81" s="30" t="s">
        <v>483</v>
      </c>
      <c r="I81" s="797"/>
      <c r="J81" s="30" t="s">
        <v>494</v>
      </c>
      <c r="K81" s="30"/>
      <c r="L81" s="30"/>
      <c r="M81" s="30"/>
      <c r="N81" s="30"/>
      <c r="O81" s="30"/>
      <c r="P81" s="30"/>
      <c r="Q81" s="30"/>
      <c r="R81" s="30"/>
      <c r="S81" s="30"/>
      <c r="T81" s="30"/>
      <c r="U81" s="30"/>
      <c r="V81" s="30"/>
      <c r="W81" s="30"/>
      <c r="X81" s="30"/>
      <c r="Y81" s="30"/>
      <c r="Z81" s="30"/>
      <c r="AA81" s="30"/>
      <c r="AB81" s="816" t="s">
        <v>1509</v>
      </c>
      <c r="AC81" s="815"/>
      <c r="AD81" s="30"/>
      <c r="AE81" s="30"/>
      <c r="AF81" s="30" t="s">
        <v>1639</v>
      </c>
      <c r="AG81" s="30"/>
    </row>
    <row r="82" spans="1:33" x14ac:dyDescent="0.3">
      <c r="A82" s="30"/>
      <c r="B82" s="30"/>
      <c r="C82" s="30"/>
      <c r="D82" s="30"/>
      <c r="E82" s="30"/>
      <c r="F82" s="775" t="s">
        <v>640</v>
      </c>
      <c r="G82" s="30" t="s">
        <v>633</v>
      </c>
      <c r="H82" s="30" t="s">
        <v>483</v>
      </c>
      <c r="I82" s="797" t="s">
        <v>1351</v>
      </c>
      <c r="J82" s="30" t="s">
        <v>494</v>
      </c>
      <c r="K82" s="30"/>
      <c r="L82" s="30"/>
      <c r="M82" s="30"/>
      <c r="N82" s="30"/>
      <c r="O82" s="30"/>
      <c r="P82" s="30"/>
      <c r="Q82" s="30"/>
      <c r="R82" s="30"/>
      <c r="S82" s="30"/>
      <c r="T82" s="30"/>
      <c r="U82" s="30"/>
      <c r="V82" s="30"/>
      <c r="W82" s="30"/>
      <c r="X82" s="30"/>
      <c r="Y82" s="30"/>
      <c r="Z82" s="30"/>
      <c r="AA82" s="30"/>
      <c r="AB82" s="817"/>
      <c r="AC82" s="815"/>
      <c r="AD82" s="30"/>
      <c r="AE82" s="30"/>
      <c r="AF82" s="30" t="s">
        <v>1640</v>
      </c>
      <c r="AG82" s="30"/>
    </row>
    <row r="83" spans="1:33" x14ac:dyDescent="0.3">
      <c r="A83" s="30"/>
      <c r="B83" s="30"/>
      <c r="C83" s="30"/>
      <c r="D83" s="30"/>
      <c r="E83" s="30"/>
      <c r="F83" s="775" t="s">
        <v>416</v>
      </c>
      <c r="G83" s="273" t="s">
        <v>605</v>
      </c>
      <c r="H83" s="30" t="s">
        <v>119</v>
      </c>
      <c r="I83" s="797"/>
      <c r="J83" s="30"/>
      <c r="K83" s="30"/>
      <c r="L83" s="30"/>
      <c r="M83" s="30"/>
      <c r="N83" s="30"/>
      <c r="O83" s="30"/>
      <c r="P83" s="30"/>
      <c r="Q83" s="30"/>
      <c r="R83" s="30"/>
      <c r="S83" s="30"/>
      <c r="T83" s="30"/>
      <c r="U83" s="30"/>
      <c r="V83" s="30"/>
      <c r="W83" s="30"/>
      <c r="X83" s="30"/>
      <c r="Y83" s="30"/>
      <c r="Z83" s="30"/>
      <c r="AA83" s="30"/>
      <c r="AB83" s="817"/>
      <c r="AC83" s="815"/>
      <c r="AD83" s="30"/>
      <c r="AE83" s="30"/>
      <c r="AF83" s="30"/>
      <c r="AG83" s="30"/>
    </row>
    <row r="84" spans="1:33" x14ac:dyDescent="0.3">
      <c r="A84" s="30"/>
      <c r="B84" s="30"/>
      <c r="C84" s="30"/>
      <c r="D84" s="30"/>
      <c r="E84" s="30"/>
      <c r="F84" s="775" t="s">
        <v>642</v>
      </c>
      <c r="G84" s="30" t="s">
        <v>485</v>
      </c>
      <c r="H84" s="30" t="s">
        <v>539</v>
      </c>
      <c r="I84" s="797"/>
      <c r="J84" s="30" t="s">
        <v>494</v>
      </c>
      <c r="K84" s="30"/>
      <c r="L84" s="30"/>
      <c r="M84" s="30"/>
      <c r="N84" s="30"/>
      <c r="O84" s="30"/>
      <c r="P84" s="30"/>
      <c r="Q84" s="30"/>
      <c r="R84" s="30"/>
      <c r="S84" s="30"/>
      <c r="T84" s="30"/>
      <c r="U84" s="30"/>
      <c r="V84" s="30"/>
      <c r="W84" s="30"/>
      <c r="X84" s="30"/>
      <c r="Y84" s="30"/>
      <c r="Z84" s="30"/>
      <c r="AA84" s="30"/>
      <c r="AB84" s="816" t="s">
        <v>520</v>
      </c>
      <c r="AC84" s="815"/>
      <c r="AD84" s="30"/>
      <c r="AE84" s="30"/>
      <c r="AF84" s="30"/>
      <c r="AG84" s="30"/>
    </row>
    <row r="85" spans="1:33" x14ac:dyDescent="0.3">
      <c r="A85" s="30"/>
      <c r="B85" s="30"/>
      <c r="C85" s="30"/>
      <c r="D85" s="30"/>
      <c r="E85" s="30"/>
      <c r="F85" s="775" t="s">
        <v>1510</v>
      </c>
      <c r="G85" s="30" t="s">
        <v>598</v>
      </c>
      <c r="H85" s="30" t="s">
        <v>557</v>
      </c>
      <c r="I85" s="797"/>
      <c r="J85" s="30" t="s">
        <v>494</v>
      </c>
      <c r="K85" s="30"/>
      <c r="L85" s="30"/>
      <c r="M85" s="30"/>
      <c r="N85" s="30"/>
      <c r="O85" s="30"/>
      <c r="P85" s="30"/>
      <c r="Q85" s="30"/>
      <c r="R85" s="30"/>
      <c r="S85" s="30"/>
      <c r="T85" s="30"/>
      <c r="U85" s="30"/>
      <c r="V85" s="30"/>
      <c r="W85" s="30"/>
      <c r="X85" s="30"/>
      <c r="Y85" s="30"/>
      <c r="Z85" s="30"/>
      <c r="AA85" s="30"/>
      <c r="AB85" s="816" t="s">
        <v>1509</v>
      </c>
      <c r="AC85" s="815"/>
      <c r="AD85" s="30"/>
      <c r="AE85" s="30"/>
      <c r="AF85" s="30"/>
      <c r="AG85" s="30"/>
    </row>
    <row r="86" spans="1:33" x14ac:dyDescent="0.3">
      <c r="A86" s="30"/>
      <c r="B86" s="30"/>
      <c r="C86" s="30"/>
      <c r="D86" s="30"/>
      <c r="E86" s="30"/>
      <c r="F86" s="775" t="s">
        <v>419</v>
      </c>
      <c r="G86" s="30" t="s">
        <v>513</v>
      </c>
      <c r="H86" s="30" t="s">
        <v>547</v>
      </c>
      <c r="I86" s="797"/>
      <c r="J86" s="30" t="s">
        <v>494</v>
      </c>
      <c r="K86" s="30"/>
      <c r="L86" s="30"/>
      <c r="M86" s="30"/>
      <c r="N86" s="30"/>
      <c r="O86" s="30"/>
      <c r="P86" s="30"/>
      <c r="Q86" s="30"/>
      <c r="R86" s="30"/>
      <c r="S86" s="30"/>
      <c r="T86" s="30"/>
      <c r="U86" s="30"/>
      <c r="V86" s="30"/>
      <c r="W86" s="30"/>
      <c r="X86" s="30"/>
      <c r="Y86" s="30"/>
      <c r="Z86" s="30"/>
      <c r="AA86" s="30"/>
      <c r="AB86" s="817"/>
      <c r="AC86" s="815"/>
      <c r="AD86" s="30"/>
      <c r="AE86" s="30"/>
      <c r="AF86" s="30"/>
      <c r="AG86" s="30"/>
    </row>
    <row r="87" spans="1:33" x14ac:dyDescent="0.3">
      <c r="A87" s="30"/>
      <c r="B87" s="30"/>
      <c r="C87" s="30"/>
      <c r="D87" s="30"/>
      <c r="E87" s="30"/>
      <c r="F87" s="775" t="s">
        <v>644</v>
      </c>
      <c r="G87" s="30" t="s">
        <v>1449</v>
      </c>
      <c r="H87" s="30" t="s">
        <v>541</v>
      </c>
      <c r="I87" s="797" t="s">
        <v>1351</v>
      </c>
      <c r="J87" s="30"/>
      <c r="K87" s="30"/>
      <c r="L87" s="30"/>
      <c r="M87" s="30"/>
      <c r="N87" s="30"/>
      <c r="O87" s="30"/>
      <c r="P87" s="30"/>
      <c r="Q87" s="30"/>
      <c r="R87" s="30"/>
      <c r="S87" s="30"/>
      <c r="T87" s="30"/>
      <c r="U87" s="30"/>
      <c r="V87" s="30"/>
      <c r="W87" s="30"/>
      <c r="X87" s="30"/>
      <c r="Y87" s="30"/>
      <c r="Z87" s="30"/>
      <c r="AA87" s="30"/>
      <c r="AB87" s="816" t="s">
        <v>527</v>
      </c>
      <c r="AC87" s="815"/>
      <c r="AD87" s="30"/>
      <c r="AE87" s="30"/>
      <c r="AF87" s="30"/>
      <c r="AG87" s="30"/>
    </row>
    <row r="88" spans="1:33" x14ac:dyDescent="0.3">
      <c r="A88" s="30"/>
      <c r="B88" s="30"/>
      <c r="C88" s="30"/>
      <c r="D88" s="30"/>
      <c r="E88" s="30"/>
      <c r="F88" s="775" t="s">
        <v>645</v>
      </c>
      <c r="G88" s="30" t="s">
        <v>485</v>
      </c>
      <c r="H88" s="30" t="s">
        <v>545</v>
      </c>
      <c r="I88" s="797"/>
      <c r="J88" s="30" t="s">
        <v>494</v>
      </c>
      <c r="K88" s="30"/>
      <c r="L88" s="30"/>
      <c r="M88" s="30"/>
      <c r="N88" s="30"/>
      <c r="O88" s="30"/>
      <c r="P88" s="30"/>
      <c r="Q88" s="30"/>
      <c r="R88" s="30"/>
      <c r="S88" s="30"/>
      <c r="T88" s="30"/>
      <c r="U88" s="30"/>
      <c r="V88" s="30"/>
      <c r="W88" s="30"/>
      <c r="X88" s="30"/>
      <c r="Y88" s="30"/>
      <c r="Z88" s="30"/>
      <c r="AA88" s="30"/>
      <c r="AB88" s="816" t="s">
        <v>1509</v>
      </c>
      <c r="AC88" s="815"/>
      <c r="AD88" s="30"/>
      <c r="AE88" s="30"/>
      <c r="AF88" s="30"/>
      <c r="AG88" s="30"/>
    </row>
    <row r="89" spans="1:33" x14ac:dyDescent="0.3">
      <c r="A89" s="30"/>
      <c r="B89" s="30"/>
      <c r="C89" s="30"/>
      <c r="D89" s="30"/>
      <c r="E89" s="30"/>
      <c r="F89" s="775" t="s">
        <v>646</v>
      </c>
      <c r="G89" s="30" t="s">
        <v>485</v>
      </c>
      <c r="H89" s="30" t="s">
        <v>548</v>
      </c>
      <c r="I89" s="797"/>
      <c r="J89" s="30" t="s">
        <v>494</v>
      </c>
      <c r="K89" s="30"/>
      <c r="L89" s="30"/>
      <c r="M89" s="30"/>
      <c r="N89" s="30"/>
      <c r="O89" s="30"/>
      <c r="P89" s="30"/>
      <c r="Q89" s="30"/>
      <c r="R89" s="30"/>
      <c r="S89" s="30"/>
      <c r="T89" s="30"/>
      <c r="U89" s="30"/>
      <c r="V89" s="30"/>
      <c r="W89" s="30"/>
      <c r="X89" s="30"/>
      <c r="Y89" s="30"/>
      <c r="Z89" s="30"/>
      <c r="AA89" s="30"/>
      <c r="AB89" s="30"/>
      <c r="AC89" s="30"/>
      <c r="AD89" s="30"/>
      <c r="AE89" s="30"/>
      <c r="AF89" s="30"/>
      <c r="AG89" s="30"/>
    </row>
    <row r="90" spans="1:33" x14ac:dyDescent="0.3">
      <c r="A90" s="30"/>
      <c r="B90" s="30"/>
      <c r="C90" s="30"/>
      <c r="D90" s="30"/>
      <c r="E90" s="30"/>
      <c r="F90" s="775" t="s">
        <v>423</v>
      </c>
      <c r="G90" s="273" t="s">
        <v>605</v>
      </c>
      <c r="H90" s="30" t="s">
        <v>119</v>
      </c>
      <c r="I90" s="797"/>
      <c r="J90" s="30"/>
      <c r="K90" s="30"/>
      <c r="L90" s="30"/>
      <c r="M90" s="30"/>
      <c r="N90" s="30"/>
      <c r="O90" s="30"/>
      <c r="P90" s="30"/>
      <c r="Q90" s="30"/>
      <c r="R90" s="30"/>
      <c r="S90" s="30"/>
      <c r="T90" s="30"/>
      <c r="U90" s="30"/>
      <c r="V90" s="30"/>
      <c r="W90" s="30"/>
      <c r="X90" s="30"/>
      <c r="Y90" s="30"/>
      <c r="Z90" s="30"/>
      <c r="AA90" s="30"/>
      <c r="AB90" s="30"/>
      <c r="AC90" s="30"/>
      <c r="AD90" s="30"/>
      <c r="AE90" s="30"/>
      <c r="AF90" s="30"/>
      <c r="AG90" s="30"/>
    </row>
    <row r="91" spans="1:33" x14ac:dyDescent="0.3">
      <c r="A91" s="30"/>
      <c r="B91" s="30"/>
      <c r="C91" s="30"/>
      <c r="D91" s="30"/>
      <c r="E91" s="30"/>
      <c r="F91" s="775" t="s">
        <v>424</v>
      </c>
      <c r="G91" s="30" t="s">
        <v>600</v>
      </c>
      <c r="H91" s="30" t="s">
        <v>119</v>
      </c>
      <c r="I91" s="797" t="s">
        <v>1351</v>
      </c>
      <c r="J91" s="30"/>
      <c r="K91" s="30"/>
      <c r="L91" s="30"/>
      <c r="M91" s="30"/>
      <c r="N91" s="30"/>
      <c r="O91" s="30"/>
      <c r="P91" s="30"/>
      <c r="Q91" s="30"/>
      <c r="R91" s="30"/>
      <c r="S91" s="30"/>
      <c r="T91" s="30"/>
      <c r="U91" s="30"/>
      <c r="V91" s="30"/>
      <c r="W91" s="30"/>
      <c r="X91" s="30"/>
      <c r="Y91" s="30"/>
      <c r="Z91" s="30"/>
      <c r="AA91" s="30"/>
      <c r="AB91" s="30"/>
      <c r="AC91" s="30"/>
      <c r="AD91" s="30"/>
      <c r="AE91" s="30"/>
      <c r="AF91" s="30"/>
      <c r="AG91" s="30"/>
    </row>
    <row r="92" spans="1:33" x14ac:dyDescent="0.3">
      <c r="A92" s="30"/>
      <c r="B92" s="30"/>
      <c r="C92" s="30"/>
      <c r="D92" s="30"/>
      <c r="E92" s="30"/>
      <c r="F92" s="775" t="s">
        <v>425</v>
      </c>
      <c r="G92" s="273" t="s">
        <v>605</v>
      </c>
      <c r="H92" s="30" t="s">
        <v>119</v>
      </c>
      <c r="I92" s="797"/>
      <c r="J92" s="30"/>
      <c r="K92" s="30"/>
      <c r="L92" s="30"/>
      <c r="M92" s="30"/>
      <c r="N92" s="30"/>
      <c r="O92" s="30"/>
      <c r="P92" s="30"/>
      <c r="Q92" s="30"/>
      <c r="R92" s="30"/>
      <c r="S92" s="30"/>
      <c r="T92" s="30"/>
      <c r="U92" s="30"/>
      <c r="V92" s="30"/>
      <c r="W92" s="30"/>
      <c r="X92" s="30"/>
      <c r="Y92" s="30"/>
      <c r="Z92" s="30"/>
      <c r="AA92" s="30"/>
      <c r="AB92" s="30"/>
      <c r="AC92" s="30"/>
      <c r="AD92" s="30"/>
      <c r="AE92" s="30"/>
      <c r="AF92" s="30"/>
      <c r="AG92" s="30"/>
    </row>
    <row r="93" spans="1:33" x14ac:dyDescent="0.3">
      <c r="A93" s="30"/>
      <c r="B93" s="30"/>
      <c r="C93" s="30"/>
      <c r="D93" s="30"/>
      <c r="E93" s="30"/>
      <c r="F93" s="775" t="s">
        <v>426</v>
      </c>
      <c r="G93" s="30" t="s">
        <v>628</v>
      </c>
      <c r="H93" s="30" t="s">
        <v>119</v>
      </c>
      <c r="I93" s="797" t="s">
        <v>1351</v>
      </c>
      <c r="J93" s="30"/>
      <c r="K93" s="30"/>
      <c r="L93" s="30"/>
      <c r="M93" s="30"/>
      <c r="N93" s="30"/>
      <c r="O93" s="30"/>
      <c r="P93" s="30"/>
      <c r="Q93" s="30"/>
      <c r="R93" s="30"/>
      <c r="S93" s="30"/>
      <c r="T93" s="30"/>
      <c r="U93" s="30"/>
      <c r="V93" s="30"/>
      <c r="W93" s="30"/>
      <c r="X93" s="30"/>
      <c r="Y93" s="30"/>
      <c r="Z93" s="30"/>
      <c r="AA93" s="30"/>
      <c r="AB93" s="30"/>
      <c r="AC93" s="30"/>
      <c r="AD93" s="30"/>
      <c r="AE93" s="30"/>
      <c r="AF93" s="30"/>
      <c r="AG93" s="30"/>
    </row>
    <row r="94" spans="1:33" x14ac:dyDescent="0.3">
      <c r="A94" s="30"/>
      <c r="B94" s="30"/>
      <c r="C94" s="30"/>
      <c r="D94" s="30"/>
      <c r="E94" s="30"/>
      <c r="F94" s="775" t="s">
        <v>427</v>
      </c>
      <c r="G94" s="273" t="s">
        <v>605</v>
      </c>
      <c r="H94" s="30" t="s">
        <v>119</v>
      </c>
      <c r="I94" s="797" t="s">
        <v>1351</v>
      </c>
      <c r="J94" s="30"/>
      <c r="K94" s="30"/>
      <c r="L94" s="30"/>
      <c r="M94" s="30"/>
      <c r="N94" s="30"/>
      <c r="O94" s="30"/>
      <c r="P94" s="30"/>
      <c r="Q94" s="30"/>
      <c r="R94" s="30"/>
      <c r="S94" s="30"/>
      <c r="T94" s="30"/>
      <c r="U94" s="30"/>
      <c r="V94" s="30"/>
      <c r="W94" s="30"/>
      <c r="X94" s="30"/>
      <c r="Y94" s="30"/>
      <c r="Z94" s="30"/>
      <c r="AA94" s="30"/>
      <c r="AB94" s="30"/>
      <c r="AC94" s="30"/>
      <c r="AD94" s="30"/>
      <c r="AE94" s="30"/>
      <c r="AF94" s="30"/>
      <c r="AG94" s="30"/>
    </row>
    <row r="95" spans="1:33" x14ac:dyDescent="0.3">
      <c r="A95" s="30"/>
      <c r="B95" s="30"/>
      <c r="C95" s="30"/>
      <c r="D95" s="30"/>
      <c r="E95" s="30"/>
      <c r="F95" s="775" t="s">
        <v>428</v>
      </c>
      <c r="G95" s="30" t="s">
        <v>600</v>
      </c>
      <c r="H95" s="30" t="s">
        <v>119</v>
      </c>
      <c r="I95" s="797" t="s">
        <v>1351</v>
      </c>
      <c r="J95" s="30"/>
      <c r="K95" s="30"/>
      <c r="L95" s="30"/>
      <c r="M95" s="30"/>
      <c r="N95" s="30"/>
      <c r="O95" s="30"/>
      <c r="P95" s="30"/>
      <c r="Q95" s="30"/>
      <c r="R95" s="30"/>
      <c r="S95" s="30"/>
      <c r="T95" s="30"/>
      <c r="U95" s="30"/>
      <c r="V95" s="30"/>
      <c r="W95" s="30"/>
      <c r="X95" s="30"/>
      <c r="Y95" s="30"/>
      <c r="Z95" s="30"/>
      <c r="AA95" s="30"/>
      <c r="AB95" s="30"/>
      <c r="AC95" s="30"/>
      <c r="AD95" s="30"/>
      <c r="AE95" s="30"/>
      <c r="AF95" s="30"/>
      <c r="AG95" s="30"/>
    </row>
    <row r="96" spans="1:33" x14ac:dyDescent="0.3">
      <c r="A96" s="30"/>
      <c r="B96" s="30"/>
      <c r="C96" s="30"/>
      <c r="D96" s="30"/>
      <c r="E96" s="30"/>
      <c r="F96" s="775" t="s">
        <v>429</v>
      </c>
      <c r="G96" s="273" t="s">
        <v>605</v>
      </c>
      <c r="H96" s="30" t="s">
        <v>119</v>
      </c>
      <c r="I96" s="797" t="s">
        <v>1351</v>
      </c>
      <c r="J96" s="30"/>
      <c r="K96" s="30"/>
      <c r="L96" s="30"/>
      <c r="M96" s="30"/>
      <c r="N96" s="30"/>
      <c r="O96" s="30"/>
      <c r="P96" s="30"/>
      <c r="Q96" s="30"/>
      <c r="R96" s="30"/>
      <c r="S96" s="30"/>
      <c r="T96" s="30"/>
      <c r="U96" s="30"/>
      <c r="V96" s="30"/>
      <c r="W96" s="30"/>
      <c r="X96" s="30"/>
      <c r="Y96" s="30"/>
      <c r="Z96" s="30"/>
      <c r="AA96" s="30"/>
      <c r="AB96" s="30"/>
      <c r="AC96" s="30"/>
      <c r="AD96" s="30"/>
      <c r="AE96" s="30"/>
      <c r="AF96" s="30"/>
      <c r="AG96" s="30"/>
    </row>
    <row r="97" spans="1:33" x14ac:dyDescent="0.3">
      <c r="A97" s="30"/>
      <c r="B97" s="30"/>
      <c r="C97" s="30"/>
      <c r="D97" s="30"/>
      <c r="E97" s="30"/>
      <c r="F97" s="775" t="s">
        <v>430</v>
      </c>
      <c r="G97" s="30" t="s">
        <v>600</v>
      </c>
      <c r="H97" s="30" t="s">
        <v>119</v>
      </c>
      <c r="I97" s="797" t="s">
        <v>1351</v>
      </c>
      <c r="J97" s="30"/>
      <c r="K97" s="30"/>
      <c r="L97" s="30"/>
      <c r="M97" s="30"/>
      <c r="N97" s="30"/>
      <c r="O97" s="30"/>
      <c r="P97" s="30"/>
      <c r="Q97" s="30"/>
      <c r="R97" s="30"/>
      <c r="S97" s="30"/>
      <c r="T97" s="30"/>
      <c r="U97" s="30"/>
      <c r="V97" s="30"/>
      <c r="W97" s="30"/>
      <c r="X97" s="30"/>
      <c r="Y97" s="30"/>
      <c r="Z97" s="30"/>
      <c r="AA97" s="30"/>
      <c r="AB97" s="30"/>
      <c r="AC97" s="30"/>
      <c r="AD97" s="30"/>
      <c r="AE97" s="30"/>
      <c r="AF97" s="30"/>
      <c r="AG97" s="30"/>
    </row>
    <row r="98" spans="1:33" x14ac:dyDescent="0.3">
      <c r="A98" s="30"/>
      <c r="B98" s="30"/>
      <c r="C98" s="30"/>
      <c r="D98" s="30"/>
      <c r="E98" s="30"/>
      <c r="F98" s="775" t="s">
        <v>431</v>
      </c>
      <c r="G98" s="30" t="s">
        <v>600</v>
      </c>
      <c r="H98" s="30" t="s">
        <v>119</v>
      </c>
      <c r="I98" s="797" t="s">
        <v>1351</v>
      </c>
      <c r="J98" s="30"/>
      <c r="K98" s="30"/>
      <c r="L98" s="30"/>
      <c r="M98" s="30"/>
      <c r="N98" s="30"/>
      <c r="O98" s="30"/>
      <c r="P98" s="30"/>
      <c r="Q98" s="30"/>
      <c r="R98" s="30"/>
      <c r="S98" s="30"/>
      <c r="T98" s="30"/>
      <c r="U98" s="30"/>
      <c r="V98" s="30"/>
      <c r="W98" s="30"/>
      <c r="X98" s="30"/>
      <c r="Y98" s="30"/>
      <c r="Z98" s="30"/>
      <c r="AA98" s="30"/>
      <c r="AB98" s="30"/>
      <c r="AC98" s="30"/>
      <c r="AD98" s="30"/>
      <c r="AE98" s="30"/>
      <c r="AF98" s="30"/>
      <c r="AG98" s="30"/>
    </row>
    <row r="99" spans="1:33" x14ac:dyDescent="0.3">
      <c r="A99" s="30"/>
      <c r="B99" s="30"/>
      <c r="C99" s="30"/>
      <c r="D99" s="30"/>
      <c r="E99" s="30"/>
      <c r="F99" s="775" t="s">
        <v>432</v>
      </c>
      <c r="G99" s="30" t="s">
        <v>600</v>
      </c>
      <c r="H99" s="30" t="s">
        <v>119</v>
      </c>
      <c r="I99" s="797" t="s">
        <v>1351</v>
      </c>
      <c r="J99" s="30"/>
      <c r="K99" s="30"/>
      <c r="L99" s="30"/>
      <c r="M99" s="30"/>
      <c r="N99" s="30"/>
      <c r="O99" s="30"/>
      <c r="P99" s="30"/>
      <c r="Q99" s="30"/>
      <c r="R99" s="30"/>
      <c r="S99" s="30"/>
      <c r="T99" s="30"/>
      <c r="U99" s="30"/>
      <c r="V99" s="30"/>
      <c r="W99" s="30"/>
      <c r="X99" s="30"/>
      <c r="Y99" s="30"/>
      <c r="Z99" s="30"/>
      <c r="AA99" s="30"/>
      <c r="AB99" s="30"/>
      <c r="AC99" s="30"/>
      <c r="AD99" s="30"/>
      <c r="AE99" s="30"/>
      <c r="AF99" s="30"/>
      <c r="AG99" s="30"/>
    </row>
    <row r="100" spans="1:33" x14ac:dyDescent="0.3">
      <c r="A100" s="30"/>
      <c r="B100" s="30"/>
      <c r="C100" s="30"/>
      <c r="D100" s="30"/>
      <c r="E100" s="30"/>
      <c r="F100" s="775" t="s">
        <v>647</v>
      </c>
      <c r="G100" s="30" t="s">
        <v>485</v>
      </c>
      <c r="H100" s="30" t="s">
        <v>551</v>
      </c>
      <c r="I100" s="797"/>
      <c r="J100" s="30" t="s">
        <v>494</v>
      </c>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row>
    <row r="101" spans="1:33" x14ac:dyDescent="0.3">
      <c r="A101" s="30"/>
      <c r="B101" s="30" t="s">
        <v>649</v>
      </c>
      <c r="C101" s="30"/>
      <c r="D101" s="30"/>
      <c r="E101" s="30"/>
      <c r="F101" s="775" t="s">
        <v>648</v>
      </c>
      <c r="G101" s="30" t="s">
        <v>485</v>
      </c>
      <c r="H101" s="30" t="s">
        <v>553</v>
      </c>
      <c r="I101" s="797"/>
      <c r="J101" s="30" t="s">
        <v>494</v>
      </c>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row>
    <row r="102" spans="1:33" x14ac:dyDescent="0.3">
      <c r="A102" s="30"/>
      <c r="B102" s="30" t="s">
        <v>487</v>
      </c>
      <c r="C102" s="30"/>
      <c r="D102" s="30"/>
      <c r="E102" s="30"/>
      <c r="F102" s="775"/>
      <c r="G102" s="30"/>
      <c r="H102" s="30"/>
      <c r="I102" s="797"/>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row>
    <row r="103" spans="1:33" x14ac:dyDescent="0.3">
      <c r="A103" s="30"/>
      <c r="B103" s="30" t="s">
        <v>505</v>
      </c>
      <c r="C103" s="30"/>
      <c r="D103" s="30"/>
      <c r="E103" s="30"/>
      <c r="F103" s="775"/>
      <c r="G103" s="30"/>
      <c r="H103" s="30"/>
      <c r="I103" s="797"/>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row>
    <row r="104" spans="1:33" x14ac:dyDescent="0.3">
      <c r="A104" s="30"/>
      <c r="B104" s="30"/>
      <c r="C104" s="30"/>
      <c r="D104" s="30"/>
      <c r="E104" s="30"/>
      <c r="F104" s="775"/>
      <c r="G104" s="30"/>
      <c r="H104" s="30"/>
      <c r="I104" s="797"/>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row>
    <row r="105" spans="1:33" x14ac:dyDescent="0.3">
      <c r="F105" s="775"/>
      <c r="G105" s="30"/>
      <c r="H105" s="30"/>
      <c r="I105" s="797"/>
      <c r="J105" s="30"/>
    </row>
  </sheetData>
  <mergeCells count="6">
    <mergeCell ref="AB66:AC66"/>
    <mergeCell ref="AB2:AB3"/>
    <mergeCell ref="AC2:AD2"/>
    <mergeCell ref="AH2:AN2"/>
    <mergeCell ref="AO2:AT2"/>
    <mergeCell ref="AC7:AD7"/>
  </mergeCells>
  <pageMargins left="0.7" right="0.7" top="0.75" bottom="0.75" header="0.3" footer="0.3"/>
  <drawing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77"/>
  <sheetViews>
    <sheetView tabSelected="1" zoomScale="70" zoomScaleNormal="70" workbookViewId="0">
      <selection activeCell="E8" sqref="E8"/>
    </sheetView>
  </sheetViews>
  <sheetFormatPr baseColWidth="10" defaultColWidth="11.44140625" defaultRowHeight="21" x14ac:dyDescent="0.4"/>
  <cols>
    <col min="1" max="1" width="3.6640625" style="302" customWidth="1"/>
    <col min="2" max="2" width="8.88671875" style="302" hidden="1" customWidth="1"/>
    <col min="3" max="3" width="35.5546875" style="302" customWidth="1"/>
    <col min="4" max="4" width="23.33203125" style="302" customWidth="1"/>
    <col min="5" max="5" width="21.33203125" style="302" customWidth="1"/>
    <col min="6" max="6" width="23.33203125" style="302" customWidth="1"/>
    <col min="7" max="7" width="18.5546875" style="302" customWidth="1"/>
    <col min="8" max="8" width="24" style="302" customWidth="1"/>
    <col min="9" max="9" width="22.88671875" style="302" customWidth="1"/>
    <col min="10" max="10" width="23.44140625" style="302" customWidth="1"/>
    <col min="11" max="11" width="26.33203125" style="302" customWidth="1"/>
    <col min="12" max="12" width="44.33203125" style="302" customWidth="1"/>
    <col min="13" max="13" width="13.109375" style="302" customWidth="1"/>
    <col min="14" max="14" width="14.33203125" style="302" customWidth="1"/>
    <col min="15" max="15" width="11.44140625" style="302"/>
    <col min="16" max="16" width="18.33203125" style="302" customWidth="1"/>
    <col min="17" max="19" width="11.44140625" style="302"/>
    <col min="20" max="20" width="49.6640625" style="302" customWidth="1"/>
    <col min="21" max="21" width="69.6640625" style="302" customWidth="1"/>
    <col min="22" max="22" width="16.6640625" style="302" customWidth="1"/>
    <col min="23" max="23" width="11.44140625" style="302" customWidth="1"/>
    <col min="24" max="24" width="36.6640625" style="302" customWidth="1"/>
    <col min="25" max="25" width="14.109375" style="302" customWidth="1"/>
    <col min="26" max="26" width="15.44140625" style="302" customWidth="1"/>
    <col min="27" max="27" width="13.6640625" style="302" customWidth="1"/>
    <col min="28" max="28" width="13.33203125" style="302" customWidth="1"/>
    <col min="29" max="16384" width="11.44140625" style="302"/>
  </cols>
  <sheetData>
    <row r="1" spans="2:16" ht="54" customHeight="1" x14ac:dyDescent="0.4">
      <c r="B1" s="1741"/>
      <c r="C1" s="1741"/>
      <c r="D1" s="1766" t="s">
        <v>1511</v>
      </c>
      <c r="E1" s="1767"/>
      <c r="F1" s="1767"/>
      <c r="G1" s="1767"/>
      <c r="H1" s="1767"/>
      <c r="I1" s="1767"/>
      <c r="J1" s="1767"/>
      <c r="K1" s="1767"/>
      <c r="L1" s="1133" t="s">
        <v>1688</v>
      </c>
    </row>
    <row r="2" spans="2:16" ht="27" customHeight="1" thickBot="1" x14ac:dyDescent="0.45">
      <c r="B2" s="1742"/>
      <c r="C2" s="1743"/>
      <c r="D2" s="1768"/>
      <c r="E2" s="1769"/>
      <c r="F2" s="1769"/>
      <c r="G2" s="1769"/>
      <c r="H2" s="1769"/>
      <c r="I2" s="1769"/>
      <c r="J2" s="1769"/>
      <c r="K2" s="1769"/>
      <c r="L2" s="317" t="s">
        <v>1689</v>
      </c>
    </row>
    <row r="3" spans="2:16" ht="42" customHeight="1" x14ac:dyDescent="0.4">
      <c r="B3" s="1744" t="s">
        <v>1512</v>
      </c>
      <c r="C3" s="1744"/>
      <c r="D3" s="1744"/>
      <c r="E3" s="1744"/>
      <c r="F3" s="1744"/>
      <c r="G3" s="1744"/>
      <c r="H3" s="1744"/>
      <c r="I3" s="1744"/>
      <c r="J3" s="1744"/>
      <c r="K3" s="1744"/>
      <c r="L3" s="1744"/>
    </row>
    <row r="4" spans="2:16" s="1275" customFormat="1" ht="32.25" customHeight="1" x14ac:dyDescent="0.4">
      <c r="C4" s="1580" t="s">
        <v>0</v>
      </c>
      <c r="D4" s="1745" t="str">
        <f>_xlfn.IFNA(VLOOKUP(D5,LISTAS!F3:H101,3,),"")</f>
        <v xml:space="preserve">80000 - DIRECCIÓN SECTOR MOVILIDAD </v>
      </c>
      <c r="E4" s="1745"/>
      <c r="F4" s="1745"/>
      <c r="G4" s="1745"/>
      <c r="H4" s="1745"/>
      <c r="I4" s="620"/>
      <c r="J4" s="620"/>
      <c r="K4" s="620"/>
      <c r="L4" s="620"/>
    </row>
    <row r="5" spans="2:16" s="1275" customFormat="1" ht="31.5" customHeight="1" x14ac:dyDescent="0.4">
      <c r="C5" s="1581" t="s">
        <v>1186</v>
      </c>
      <c r="D5" s="1746" t="s">
        <v>602</v>
      </c>
      <c r="E5" s="1747"/>
      <c r="F5" s="1747"/>
      <c r="G5" s="1747"/>
      <c r="H5" s="1747"/>
      <c r="J5" s="1580" t="s">
        <v>2</v>
      </c>
      <c r="K5" s="1264">
        <v>2024</v>
      </c>
      <c r="L5" s="732"/>
    </row>
    <row r="6" spans="2:16" s="1275" customFormat="1" ht="19.95" customHeight="1" x14ac:dyDescent="0.4">
      <c r="C6" s="1580" t="s">
        <v>1680</v>
      </c>
      <c r="D6" s="1747">
        <v>2025</v>
      </c>
      <c r="E6" s="1747"/>
      <c r="F6" s="1747"/>
      <c r="G6" s="308"/>
      <c r="H6" s="1276"/>
      <c r="J6" s="1580" t="s">
        <v>3</v>
      </c>
      <c r="K6" s="1600">
        <v>87</v>
      </c>
      <c r="L6" s="732"/>
      <c r="M6" s="1277"/>
    </row>
    <row r="7" spans="2:16" s="1275" customFormat="1" ht="19.95" customHeight="1" x14ac:dyDescent="0.4">
      <c r="C7" s="1580" t="s">
        <v>4</v>
      </c>
      <c r="D7" s="1748">
        <v>45693</v>
      </c>
      <c r="E7" s="1748"/>
      <c r="F7" s="1748"/>
      <c r="G7" s="1748"/>
      <c r="H7" s="1748"/>
      <c r="J7" s="1580" t="s">
        <v>1187</v>
      </c>
      <c r="K7" s="1601">
        <v>45693</v>
      </c>
      <c r="L7" s="1146"/>
      <c r="M7" s="1277"/>
    </row>
    <row r="8" spans="2:16" ht="26.25" customHeight="1" thickBot="1" x14ac:dyDescent="0.45">
      <c r="B8" s="1143"/>
      <c r="C8" s="1144"/>
      <c r="D8" s="1144"/>
      <c r="E8" s="1144"/>
      <c r="F8" s="1144"/>
      <c r="G8" s="1144"/>
      <c r="H8" s="1144"/>
      <c r="I8" s="1144"/>
      <c r="J8" s="1144"/>
      <c r="K8" s="1145"/>
      <c r="L8" s="1145"/>
    </row>
    <row r="9" spans="2:16" ht="26.25" customHeight="1" x14ac:dyDescent="0.4">
      <c r="B9" s="1749" t="s">
        <v>478</v>
      </c>
      <c r="C9" s="1750" t="s">
        <v>478</v>
      </c>
      <c r="D9" s="1753" t="s">
        <v>1513</v>
      </c>
      <c r="E9" s="1754" t="s">
        <v>521</v>
      </c>
      <c r="F9" s="1753"/>
      <c r="G9" s="1757" t="s">
        <v>1514</v>
      </c>
      <c r="H9" s="1758" t="s">
        <v>1515</v>
      </c>
      <c r="I9" s="1758"/>
      <c r="J9" s="1759"/>
      <c r="K9" s="1750" t="s">
        <v>1707</v>
      </c>
      <c r="L9" s="1734" t="s">
        <v>1733</v>
      </c>
    </row>
    <row r="10" spans="2:16" ht="26.25" customHeight="1" x14ac:dyDescent="0.4">
      <c r="B10" s="1749"/>
      <c r="C10" s="1751"/>
      <c r="D10" s="1753"/>
      <c r="E10" s="1754"/>
      <c r="F10" s="1753"/>
      <c r="G10" s="1757"/>
      <c r="H10" s="823" t="s">
        <v>193</v>
      </c>
      <c r="I10" s="823" t="s">
        <v>195</v>
      </c>
      <c r="J10" s="1172" t="s">
        <v>1516</v>
      </c>
      <c r="K10" s="1751"/>
      <c r="L10" s="1735"/>
    </row>
    <row r="11" spans="2:16" ht="26.25" customHeight="1" thickBot="1" x14ac:dyDescent="0.45">
      <c r="B11" s="1749"/>
      <c r="C11" s="1752"/>
      <c r="D11" s="1753"/>
      <c r="E11" s="1755"/>
      <c r="F11" s="1756"/>
      <c r="G11" s="1757"/>
      <c r="H11" s="824">
        <v>0.33333332999999998</v>
      </c>
      <c r="I11" s="825">
        <v>0.33333333329999998</v>
      </c>
      <c r="J11" s="1173">
        <v>0.33333333329999998</v>
      </c>
      <c r="K11" s="1752"/>
      <c r="L11" s="1736"/>
    </row>
    <row r="12" spans="2:16" ht="22.5" customHeight="1" x14ac:dyDescent="0.4">
      <c r="B12" s="1651" t="s">
        <v>495</v>
      </c>
      <c r="C12" s="1727" t="s">
        <v>495</v>
      </c>
      <c r="D12" s="1674">
        <f>IF(VLOOKUP($D$5,TablaSujetos215[],3,FALSE)="MIXTA&lt;50",VLOOKUP(B12,TablaMacroprocesos43817[],4,FALSE),IF(VLOOKUP($D$5,TablaSujetos215[],3,FALSE)="MIXTA&gt;50",VLOOKUP(B12,TablaMacroprocesos43817[],3,FALSE),IF(VLOOKUP($D$5,TablaSujetos215[],3,FALSE)="CORPORACION",VLOOKUP(B12,TablaMacroprocesos43817[],5,FALSE),IF(VLOOKUP($D$5,TablaSujetos215[],1,FALSE)="100 - Concejo de Bogotá D.C.",0.55,VLOOKUP(B12,TablaMacroprocesos43817[],2,FALSE)))))</f>
        <v>0.35</v>
      </c>
      <c r="E12" s="1764" t="s">
        <v>528</v>
      </c>
      <c r="F12" s="1765"/>
      <c r="G12" s="1723">
        <f>IF(VLOOKUP($D$5,TablaSujetos215[],3,FALSE)="PUBLICA con ing",VLOOKUP(E12,TablaProcesos516[],2,FALSE),IF(VLOOKUP($D$5,TablaSujetos215[],3,FALSE)="PUBLICA con ing&gt;50",VLOOKUP(E12,TablaProcesos516[],3,FALSE),IF(VLOOKUP($D$5,TablaSujetos215[],3,FALSE)="PUBLICA",VLOOKUP(E12,TablaProcesos516[],4,FALSE),IF(VLOOKUP($D$5,TablaSujetos215[],3,FALSE)="MIXTA&gt;50 sin ing",VLOOKUP(E12,TablaProcesos516[],5,FALSE),IF(VLOOKUP($D$5,TablaSujetos215[],3,FALSE)="MIXTA&gt;50",VLOOKUP(E12,TablaProcesos516[],6,FALSE),IF(VLOOKUP($D$5,TablaSujetos215[],3,FALSE)="MIXTA&lt;50",VLOOKUP(E12,TablaProcesos516[],7,FALSE),IF(VLOOKUP($D$5,TablaSujetos215[],3,FALSE)="CORPORACION",VLOOKUP(E12,TablaProcesos516[],8,FALSE),IF(G14="NO APLICA",1,VLOOKUP(E12,TablaProcesos516[],9,FALSE)))))))))</f>
        <v>0.6</v>
      </c>
      <c r="H12" s="1713">
        <f>+'HALLAZGOS OPINIÓN_FIN'!H163</f>
        <v>1</v>
      </c>
      <c r="I12" s="1725"/>
      <c r="J12" s="1726"/>
      <c r="K12" s="1714">
        <f>IFERROR(IF(D12="No Aplica","No Aplica",IF(G12="No Aplica","No Aplica",(G12*H12))),"")</f>
        <v>0.6</v>
      </c>
      <c r="L12" s="1148" t="s">
        <v>1708</v>
      </c>
    </row>
    <row r="13" spans="2:16" ht="24.75" customHeight="1" x14ac:dyDescent="0.4">
      <c r="B13" s="1652"/>
      <c r="C13" s="1728"/>
      <c r="D13" s="1675"/>
      <c r="E13" s="1762"/>
      <c r="F13" s="1763"/>
      <c r="G13" s="1662"/>
      <c r="H13" s="1667"/>
      <c r="I13" s="1685"/>
      <c r="J13" s="1650"/>
      <c r="K13" s="1715"/>
      <c r="L13" s="1278" t="str">
        <f>IF(H12=100%,"Limpia o Sin Salvedades",IF(H12=75%,"Con Salvedades",IF(H12=0%,"Negativa","Abstención")))</f>
        <v>Limpia o Sin Salvedades</v>
      </c>
      <c r="M13" s="826"/>
      <c r="N13" s="826"/>
    </row>
    <row r="14" spans="2:16" ht="30" customHeight="1" x14ac:dyDescent="0.4">
      <c r="B14" s="1652"/>
      <c r="C14" s="1728"/>
      <c r="D14" s="1675"/>
      <c r="E14" s="1760" t="s">
        <v>533</v>
      </c>
      <c r="F14" s="1761"/>
      <c r="G14" s="1661">
        <f>IF(VLOOKUP($D$5,TablaSujetos215[],3,FALSE)="PUBLICA con ing",VLOOKUP(E14,TablaProcesos516[],2,FALSE),IF(VLOOKUP($D$5,TablaSujetos215[],3,FALSE)="PUBLICA sin ing",VLOOKUP(E14,TablaProcesos516[],3,FALSE),IF(VLOOKUP($D$5,TablaSujetos215[],3,FALSE)="PUBLICA",VLOOKUP(E14,TablaProcesos516[],4,FALSE),IF(VLOOKUP($D$5,TablaSujetos215[],3,FALSE)="MIXTA&gt;50 sin Ing",VLOOKUP(E14,TablaProcesos516[],5,FALSE),IF(VLOOKUP($D$5,TablaSujetos215[],3,FALSE)="MIXTA&gt;50",VLOOKUP(E14,TablaProcesos516[],6,FALSE),IF(VLOOKUP($D$5,TablaSujetos215[],3,FALSE)="MIXTA&lt;50",VLOOKUP(E14,TablaProcesos516[],7,FALSE),IF(VLOOKUP($D$5,TablaSujetos215[],3,FALSE)="CORPORACION",VLOOKUP(E14,TablaProcesos516[],8,FALSE),"No Aplica")))))))</f>
        <v>0.4</v>
      </c>
      <c r="H14" s="1663">
        <f>IF(G14="No Aplica","No Aplica",IF(G14&gt;1%,'DESEMPEÑO FINANCIERO'!I17))</f>
        <v>0.78662499999999991</v>
      </c>
      <c r="I14" s="1663">
        <f>IF(G14="No Aplica","No Aplica",IF(G14&gt;1%,'DESEMPEÑO FINANCIERO'!J17))</f>
        <v>0.82652941176470585</v>
      </c>
      <c r="J14" s="1648"/>
      <c r="K14" s="1716">
        <f>IFERROR(IF(D12="No Aplica","No Aplica",IF(G14="No Aplica","No Aplica",AVERAGE(H14:J15)*G14)),"")</f>
        <v>0.32263088235294113</v>
      </c>
      <c r="L14" s="1149" t="s">
        <v>1517</v>
      </c>
      <c r="M14" s="826"/>
      <c r="N14" s="826"/>
    </row>
    <row r="15" spans="2:16" ht="23.4" customHeight="1" x14ac:dyDescent="0.4">
      <c r="B15" s="1652"/>
      <c r="C15" s="1728"/>
      <c r="D15" s="1718"/>
      <c r="E15" s="1762"/>
      <c r="F15" s="1763"/>
      <c r="G15" s="1662"/>
      <c r="H15" s="1664"/>
      <c r="I15" s="1664"/>
      <c r="J15" s="1650"/>
      <c r="K15" s="1715"/>
      <c r="L15" s="1260" t="str">
        <f>IF(G14="No Aplica","No Aplica",IF(AND(AVERAGE(H14:I14)&gt;=75%,AVERAGE(H14:I14)&lt;=100%),"Efectivo","Inefectivo"))</f>
        <v>Efectivo</v>
      </c>
      <c r="M15" s="826"/>
      <c r="N15" s="826"/>
    </row>
    <row r="16" spans="2:16" ht="35.25" customHeight="1" thickBot="1" x14ac:dyDescent="0.45">
      <c r="B16" s="1653"/>
      <c r="C16" s="1729"/>
      <c r="D16" s="1777" t="s">
        <v>1518</v>
      </c>
      <c r="E16" s="1777"/>
      <c r="F16" s="1778"/>
      <c r="G16" s="827">
        <f>SUM(G12:G14)</f>
        <v>1</v>
      </c>
      <c r="H16" s="939">
        <f>IFERROR(IF($D$12="No Aplica","No Aplica",IF($G$12="No Aplica",($G$14*H14),IF($G$14="No Aplica",($G$12*H12),($G$12*H12)+($G$14*H14)))),"")</f>
        <v>0.91464999999999996</v>
      </c>
      <c r="I16" s="940">
        <f>IFERROR(IF(D12="No Aplica","No Aplica",IF($G$14="No Aplica","No Aplica",I14)),"")</f>
        <v>0.82652941176470585</v>
      </c>
      <c r="J16" s="941"/>
      <c r="K16" s="1147">
        <f>SUM(K12:K15)</f>
        <v>0.92263088235294111</v>
      </c>
      <c r="L16" s="1151" t="s">
        <v>149</v>
      </c>
      <c r="M16" s="828"/>
      <c r="N16" s="826"/>
      <c r="P16" s="829"/>
    </row>
    <row r="17" spans="2:17" ht="38.4" customHeight="1" x14ac:dyDescent="0.4">
      <c r="B17" s="1717" t="s">
        <v>501</v>
      </c>
      <c r="C17" s="1651" t="s">
        <v>1519</v>
      </c>
      <c r="D17" s="1674">
        <f>IF(VLOOKUP($D$5,TablaSujetos215[],3,FALSE)="MIXTA&lt;50",VLOOKUP(B17,TablaMacroprocesos43817[],4,FALSE),IF(VLOOKUP($D$5,TablaSujetos215[],3,FALSE)="MIXTA&gt;50",VLOOKUP(B17,TablaMacroprocesos43817[],3,FALSE),IF(VLOOKUP($D$5,TablaSujetos215[],3,FALSE)="CORPORACION",VLOOKUP(B17,TablaMacroprocesos43817[],5,FALSE),IF(VLOOKUP($D$5,TablaSujetos215[],1,FALSE)="100 - Concejo de Bogotá D.C.",0.45,VLOOKUP(B17,TablaMacroprocesos43817[],2,FALSE)))))</f>
        <v>0.25</v>
      </c>
      <c r="E17" s="1719" t="s">
        <v>501</v>
      </c>
      <c r="F17" s="1722" t="s">
        <v>537</v>
      </c>
      <c r="G17" s="1723">
        <f>IF(VLOOKUP($D$5,TablaSujetos215[],3,FALSE)="PUBLICA con ing",VLOOKUP(F17,TablaProcesos516[],2,FALSE),IF(VLOOKUP($D$5,TablaSujetos215[],3,FALSE)="PUBLICA sin ing",VLOOKUP(F17,TablaProcesos516[],3,FALSE),IF(VLOOKUP($D$5,TablaSujetos215[],3,FALSE)="PUBLICA",VLOOKUP(F17,TablaProcesos516[],4,FALSE),IF(VLOOKUP($D$5,TablaSujetos215[],3,FALSE)="MIXTA&gt;50 sin Ing",VLOOKUP(F17,TablaProcesos516[],5,FALSE),IF(VLOOKUP($D$5,TablaSujetos215[],3,FALSE)="MIXTA&gt;50",VLOOKUP(F17,TablaProcesos516[],6,FALSE),IF(VLOOKUP($D$5,TablaSujetos215[],3,FALSE)="MIXTA&lt;50",VLOOKUP(F17,TablaProcesos516[],7,FALSE),IF(VLOOKUP($D$5,TablaSujetos215[],3,FALSE)="CORPORACION",VLOOKUP(F17,TablaProcesos516[],8,FALSE),IF(VLOOKUP($D$5,TablaSujetos215[],1,FALSE)=LISTAS!F5,"No Aplica",VLOOKUP(F17,TablaProcesos516[],9,FALSE)))))))))</f>
        <v>0.4</v>
      </c>
      <c r="H17" s="1724" t="str">
        <f>IF(G17="No Aplica","No Aplica",IF(G17&gt;1%,'HALLAZGOS CONCEPTO_PRES'!E99))</f>
        <v>No Aplica</v>
      </c>
      <c r="I17" s="1725"/>
      <c r="J17" s="1726"/>
      <c r="K17" s="1714" t="str">
        <f>IFERROR(IF(D17="No Aplica","No aplica",IF(G17="No Aplica","No Aplica",(G17*H17))),"")</f>
        <v/>
      </c>
      <c r="L17" s="1148" t="s">
        <v>1711</v>
      </c>
      <c r="P17" s="829"/>
      <c r="Q17" s="829"/>
    </row>
    <row r="18" spans="2:17" ht="28.95" customHeight="1" x14ac:dyDescent="0.4">
      <c r="B18" s="1655"/>
      <c r="C18" s="1652"/>
      <c r="D18" s="1675"/>
      <c r="E18" s="1720"/>
      <c r="F18" s="1660"/>
      <c r="G18" s="1662"/>
      <c r="H18" s="1664"/>
      <c r="I18" s="1685"/>
      <c r="J18" s="1650"/>
      <c r="K18" s="1715"/>
      <c r="L18" s="1260" t="e">
        <f>IF(G17="No Aplica","No Aplica",IF(AND(AVERAGE(H17)&gt;=75%,AVERAGE(H17)&lt;=100%),"Razonable",IF(AND(AVERAGE(H17)&gt;=65%,AVERAGE(H17)&lt;75%),"Con Salvedades","No Razonable")))</f>
        <v>#DIV/0!</v>
      </c>
      <c r="P18" s="829"/>
      <c r="Q18" s="829"/>
    </row>
    <row r="19" spans="2:17" ht="34.200000000000003" customHeight="1" x14ac:dyDescent="0.4">
      <c r="B19" s="1655"/>
      <c r="C19" s="1652"/>
      <c r="D19" s="1675"/>
      <c r="E19" s="1720"/>
      <c r="F19" s="1659" t="s">
        <v>543</v>
      </c>
      <c r="G19" s="1661">
        <f>IF(VLOOKUP($D$5,TablaSujetos215[],3,FALSE)="PUBLICA con ing",VLOOKUP(F19,TablaProcesos516[],2,FALSE),IF(VLOOKUP($D$5,TablaSujetos215[],3,FALSE)="PUBLICA sin ing",VLOOKUP(F19,TablaProcesos516[],3,FALSE),IF(VLOOKUP($D$5,TablaSujetos215[],3,FALSE)="PUBLICA",VLOOKUP(F19,TablaProcesos516[],4,FALSE),IF(VLOOKUP($D$5,TablaSujetos215[],3,FALSE)="MIXTA&gt;50 sin Ing",VLOOKUP(F19,TablaProcesos516[],3,FALSE),IF(VLOOKUP($D$5,TablaSujetos215[],3,FALSE)="MIXTA&gt;50",VLOOKUP(F19,TablaProcesos516[],6,FALSE),IF(VLOOKUP($D$5,TablaSujetos215[],3,FALSE)="MIXTA&lt;50",VLOOKUP(F19,TablaProcesos516[],7,FALSE),IF(VLOOKUP($D$5,TablaSujetos215[],3,FALSE)="CORPORACION",VLOOKUP(F19,TablaProcesos516[],8,FALSE),IF(VLOOKUP($D$5,TablaSujetos215[],1,FALSE)="CONCEJO","NO APLICA",VLOOKUP(F19,TablaProcesos516[],9,FALSE)))))))))</f>
        <v>0.6</v>
      </c>
      <c r="H19" s="1663">
        <f>IF(G19="No Aplica","No Aplica",IF(G19&gt;1%,'HALLAZGOS CONCEPTO_PRES'!E100))</f>
        <v>1</v>
      </c>
      <c r="I19" s="1684"/>
      <c r="J19" s="1648"/>
      <c r="K19" s="1716">
        <f>IFERROR(IF(D19="No Aplica","No Aplica",IF(G19="No Aplica","No Aplica",(G19*H19))),"")</f>
        <v>0.6</v>
      </c>
      <c r="L19" s="1149" t="s">
        <v>1710</v>
      </c>
      <c r="N19" s="830"/>
      <c r="P19" s="829"/>
    </row>
    <row r="20" spans="2:17" ht="24.6" customHeight="1" x14ac:dyDescent="0.4">
      <c r="B20" s="1655"/>
      <c r="C20" s="1652"/>
      <c r="D20" s="1675"/>
      <c r="E20" s="1721"/>
      <c r="F20" s="1660"/>
      <c r="G20" s="1662"/>
      <c r="H20" s="1664"/>
      <c r="I20" s="1685"/>
      <c r="J20" s="1650"/>
      <c r="K20" s="1715"/>
      <c r="L20" s="1260" t="str">
        <f>IF(G19="No Aplica","No Aplica",IF(AND(AVERAGE(H19)&gt;=75%,AVERAGE(H19)&lt;=100%),"Razonable",IF(AND(AVERAGE(H19)&gt;=65%,AVERAGE(H19)&lt;75%),"Con Salvedades","No Razonable")))</f>
        <v>Razonable</v>
      </c>
      <c r="N20" s="830"/>
    </row>
    <row r="21" spans="2:17" ht="28.95" customHeight="1" x14ac:dyDescent="0.4">
      <c r="B21" s="1656"/>
      <c r="C21" s="1652"/>
      <c r="D21" s="1675"/>
      <c r="E21" s="1703" t="s">
        <v>1520</v>
      </c>
      <c r="F21" s="1704"/>
      <c r="G21" s="1732">
        <f>IF(D17="No Aplica","No Aplica",SUM(G17:G20))</f>
        <v>1</v>
      </c>
      <c r="H21" s="1733" t="str">
        <f>IFERROR(IF(D17="No Aplica","No Aplica",IF(G17="No Aplica",(G19*H19),IF(G19="No Aplica",(G17*H17),(G17*H17)+(G19*H19)))),"")</f>
        <v/>
      </c>
      <c r="I21" s="1684"/>
      <c r="J21" s="1648"/>
      <c r="K21" s="1789">
        <f>SUM(K17:K20)</f>
        <v>0.6</v>
      </c>
      <c r="L21" s="1149" t="s">
        <v>1712</v>
      </c>
      <c r="N21" s="830"/>
    </row>
    <row r="22" spans="2:17" ht="22.95" customHeight="1" x14ac:dyDescent="0.4">
      <c r="B22" s="1655"/>
      <c r="C22" s="1652"/>
      <c r="D22" s="1718"/>
      <c r="E22" s="1730"/>
      <c r="F22" s="1731"/>
      <c r="G22" s="1708"/>
      <c r="H22" s="1710"/>
      <c r="I22" s="1685"/>
      <c r="J22" s="1650"/>
      <c r="K22" s="1790"/>
      <c r="L22" s="1260" t="e">
        <f>IF(G21="No Aplica","No Aplica",IF(AND(AVERAGE(H21)&gt;=75%,AVERAGE(H21)&lt;=100%),"Razonable",IF(AND(AVERAGE(H21)&gt;=65%,AVERAGE(H21)&lt;75%),"Con Salvedades","No Razonable")))</f>
        <v>#DIV/0!</v>
      </c>
      <c r="N22" s="830"/>
      <c r="P22" s="831"/>
    </row>
    <row r="23" spans="2:17" ht="16.95" customHeight="1" x14ac:dyDescent="0.4">
      <c r="B23" s="934"/>
      <c r="C23" s="1652"/>
      <c r="D23" s="1686">
        <f>IF(VLOOKUP($D$5,TablaSujetos215[],1,FALSE)="100 - Concejo de Bogotá D.C.","No Aplica",IF(VLOOKUP($D$5,TablaSujetos215[],3,FALSE)="MIXTA&lt;50",VLOOKUP(B24,TablaMacroprocesos43817[],4,FALSE),IF(VLOOKUP($D$5,TablaSujetos215[],3,FALSE)="MIXTA&gt;50",VLOOKUP(B24,TablaMacroprocesos43817[],3,FALSE),IF(VLOOKUP($D$5,TablaSujetos215[],3,FALSE)="CORPORACION",VLOOKUP(B24,TablaMacroprocesos43817[],5,FALSE),VLOOKUP(B24,TablaMacroprocesos43817[],2,FALSE)))))</f>
        <v>0.4</v>
      </c>
      <c r="E23" s="1687" t="s">
        <v>1521</v>
      </c>
      <c r="F23" s="1690" t="s">
        <v>1600</v>
      </c>
      <c r="G23" s="1699">
        <f>IF(VLOOKUP($D$5,TablaSujetos215[],3,FALSE)="MIXTA&lt;50",VLOOKUP(F23,TablaProcesos516[],4,FALSE),IF(VLOOKUP($D$5,TablaSujetos215[],3,FALSE)="MIXTA&gt;50",VLOOKUP(F23,TablaProcesos516[],3,FALSE),IF(VLOOKUP($D$5,TablaSujetos215[],3,FALSE)="CORPORACION",VLOOKUP(F23,TablaProcesos516[],5,FALSE),IF(VLOOKUP($D$5,TablaSujetos215[],1,FALSE)="100 - Concejo de Bogotá D.C.","No Aplica",VLOOKUP(F23,TablaProcesos516[],2,FALSE)))))</f>
        <v>0.4</v>
      </c>
      <c r="H23" s="1665">
        <f>IF(G23="No Aplica","No Aplica",IF('PLANES Y PROYECTOS'!D11="PLAN ESTRATEGICO INSTITUCIONAL o CORPORATIVO o el que haga sus veces",'PLANES Y PROYECTOS'!H11,IF('PLANES Y PROYECTOS'!D11="PLANES Y PROYECTOS",'PLANES Y PROYECTOS'!I16)))</f>
        <v>0.85043799337916981</v>
      </c>
      <c r="I23" s="1665">
        <f>IF(G23="No Aplica","No Aplica",IF('PLANES Y PROYECTOS'!D11="PLAN ESTRATEGICO INSTITUCIONAL o CORPORATIVO o el que haga sus veces",'PLANES Y PROYECTOS'!H12,IF('PLANES Y PROYECTOS'!D11="PLANES Y PROYECTOS",'PLANES Y PROYECTOS'!L16)))</f>
        <v>0.9019185497792831</v>
      </c>
      <c r="J23" s="1648"/>
      <c r="K23" s="1795">
        <f>IFERROR(IF(D23="No Aplica","No Aplica",IF(G23="No Aplica","No Aplica",AVERAGE(H23:J24)*G23)),"")</f>
        <v>0.35047130863169063</v>
      </c>
      <c r="L23" s="1737" t="s">
        <v>1625</v>
      </c>
      <c r="N23" s="830"/>
      <c r="P23" s="831"/>
    </row>
    <row r="24" spans="2:17" ht="19.95" customHeight="1" x14ac:dyDescent="0.4">
      <c r="B24" s="1654" t="s">
        <v>510</v>
      </c>
      <c r="C24" s="1652"/>
      <c r="D24" s="1675"/>
      <c r="E24" s="1688"/>
      <c r="F24" s="1691"/>
      <c r="G24" s="1700"/>
      <c r="H24" s="1666"/>
      <c r="I24" s="1666"/>
      <c r="J24" s="1649"/>
      <c r="K24" s="1796"/>
      <c r="L24" s="1738"/>
      <c r="N24" s="830"/>
      <c r="P24" s="829"/>
    </row>
    <row r="25" spans="2:17" ht="19.95" customHeight="1" x14ac:dyDescent="0.4">
      <c r="B25" s="1654"/>
      <c r="C25" s="1652"/>
      <c r="D25" s="1675"/>
      <c r="E25" s="1688"/>
      <c r="F25" s="1691"/>
      <c r="G25" s="1700"/>
      <c r="H25" s="1666"/>
      <c r="I25" s="1666"/>
      <c r="J25" s="1649"/>
      <c r="K25" s="1796"/>
      <c r="L25" s="1658" t="str">
        <f>IF(G23="No Aplica","No Aplica",IF(AND(AVERAGE(H23:I23)&gt;=75%,AVERAGE(H23:I23)&lt;=100%),"Favorable",IF(AND(AVERAGE(H23:I23)&gt;=65%,AVERAGE(H23:I23)&lt;75%),"Con Observaciones","Desfavorable")))</f>
        <v>Favorable</v>
      </c>
      <c r="N25" s="830"/>
      <c r="P25" s="829"/>
    </row>
    <row r="26" spans="2:17" ht="15.75" customHeight="1" x14ac:dyDescent="0.4">
      <c r="B26" s="1655"/>
      <c r="C26" s="1652"/>
      <c r="D26" s="1675"/>
      <c r="E26" s="1688"/>
      <c r="F26" s="1660"/>
      <c r="G26" s="1662"/>
      <c r="H26" s="1667"/>
      <c r="I26" s="1667"/>
      <c r="J26" s="1650"/>
      <c r="K26" s="1797"/>
      <c r="L26" s="1658"/>
      <c r="N26" s="830"/>
      <c r="P26" s="831"/>
    </row>
    <row r="27" spans="2:17" ht="19.2" customHeight="1" x14ac:dyDescent="0.4">
      <c r="B27" s="1655"/>
      <c r="C27" s="1652"/>
      <c r="D27" s="1675"/>
      <c r="E27" s="1688"/>
      <c r="F27" s="1659" t="s">
        <v>1601</v>
      </c>
      <c r="G27" s="1661">
        <f>IF(VLOOKUP($D$5,TablaSujetos215[],3,FALSE)="MIXTA&lt;50",VLOOKUP(F27,TablaProcesos516[],4,FALSE),IF(VLOOKUP($D$5,TablaSujetos215[],3,FALSE)="MIXTA&gt;50",VLOOKUP(F27,TablaProcesos516[],3,FALSE),IF(VLOOKUP($D$5,TablaSujetos215[],3,FALSE)="CORPORACION",VLOOKUP(F27,TablaProcesos516[],5,FALSE),IF(VLOOKUP($D$5,TablaSujetos215[],1,FALSE)="100 - Concejo de Bogotá D.C.","No Aplica",VLOOKUP(F27,TablaProcesos516[],2,FALSE)))))</f>
        <v>0.6</v>
      </c>
      <c r="H27" s="1663">
        <f>IF(G27="No Aplica","No Aplica",IF(G27&gt;1%,'CALIFICACIÓN GASTO PÚBLICO'!C16))</f>
        <v>0.73269837205523991</v>
      </c>
      <c r="I27" s="1663">
        <f>IF(G27="No Aplica","No Aplica",IF(G27&gt;1%,'CALIFICACIÓN GASTO PÚBLICO'!C17))</f>
        <v>0.7380806175037109</v>
      </c>
      <c r="J27" s="1701">
        <f>IF(G27="No Aplica","No Aplica",IF(G27&gt;1%,'CALIFICACIÓN GASTO PÚBLICO'!C15))</f>
        <v>0.73259884790203089</v>
      </c>
      <c r="K27" s="1791">
        <f>IFERROR(IF(D23="No Aplica","No Aplica",IF(G27="No Aplica","No Aplica",AVERAGE(H27:J27)*G27)),"")</f>
        <v>0.44067556749219644</v>
      </c>
      <c r="L27" s="1279" t="s">
        <v>1709</v>
      </c>
      <c r="N27" s="830"/>
    </row>
    <row r="28" spans="2:17" ht="27.6" customHeight="1" x14ac:dyDescent="0.4">
      <c r="B28" s="1655"/>
      <c r="C28" s="1652"/>
      <c r="D28" s="1675"/>
      <c r="E28" s="1689"/>
      <c r="F28" s="1660"/>
      <c r="G28" s="1662"/>
      <c r="H28" s="1664"/>
      <c r="I28" s="1664"/>
      <c r="J28" s="1702"/>
      <c r="K28" s="1792"/>
      <c r="L28" s="1260" t="str">
        <f>IF(G27="No Aplica","No Aplica",IF(AND(AVERAGE(H27:J27)&gt;=75%,AVERAGE(H27:J27)&lt;=100%),"Favorable",IF(AND(AVERAGE(H27:J27)&gt;=65%,AVERAGE(H27:J27)&lt;75%),"Con Observaciones","Desfavorable")))</f>
        <v>Con Observaciones</v>
      </c>
      <c r="N28" s="830"/>
    </row>
    <row r="29" spans="2:17" ht="35.4" customHeight="1" x14ac:dyDescent="0.4">
      <c r="B29" s="1656"/>
      <c r="C29" s="1652"/>
      <c r="D29" s="1675"/>
      <c r="E29" s="1703" t="s">
        <v>1626</v>
      </c>
      <c r="F29" s="1704"/>
      <c r="G29" s="1707">
        <f>IF(D23="No Aplica","No Aplica",SUM(G23:G28))</f>
        <v>1</v>
      </c>
      <c r="H29" s="1709">
        <f>IFERROR(IF($D$23="No Aplica","No Aplica",IF($G$23="No Aplica",($G$27*H27),IF($G$27="No Aplica",($G$23*H23),($G$23*H23)+($G$27*H27)))),"")</f>
        <v>0.77979422058481185</v>
      </c>
      <c r="I29" s="1709">
        <f>IFERROR(IF($D$23="No Aplica","No Aplica",IF($G$23="No Aplica",($G$27*I27),IF($G$27="No Aplica",($G$23*I23),($G$23*I23)+($G$27*I27)))),"")</f>
        <v>0.80361579041393982</v>
      </c>
      <c r="J29" s="1711">
        <f>IFERROR(IF(D23="No Aplica","No Aplica",IF($G$27="No Aplica","No Aplica",J27)),"")</f>
        <v>0.73259884790203089</v>
      </c>
      <c r="K29" s="1789">
        <f>IF(D23="No Aplica","No Aplica",SUM(K23:K28))</f>
        <v>0.79114687612388712</v>
      </c>
      <c r="L29" s="1149" t="s">
        <v>1713</v>
      </c>
      <c r="N29" s="830"/>
    </row>
    <row r="30" spans="2:17" ht="28.95" customHeight="1" thickBot="1" x14ac:dyDescent="0.45">
      <c r="B30" s="1657"/>
      <c r="C30" s="1652"/>
      <c r="D30" s="1675"/>
      <c r="E30" s="1705"/>
      <c r="F30" s="1706"/>
      <c r="G30" s="1708"/>
      <c r="H30" s="1710"/>
      <c r="I30" s="1710"/>
      <c r="J30" s="1712"/>
      <c r="K30" s="1790"/>
      <c r="L30" s="1150" t="str">
        <f>IF(G29="No Aplica","No Aplica",IF(AND(AVERAGE(H29:J29)&gt;=75%,AVERAGE(H29:J29)&lt;=100%),"Favorable",IF(AND(AVERAGE(H29:J29)&gt;=65%,AVERAGE(H29:J29)&lt;75%),"Con Observaciones","Desfavorable")))</f>
        <v>Favorable</v>
      </c>
      <c r="N30" s="830"/>
    </row>
    <row r="31" spans="2:17" ht="35.25" customHeight="1" x14ac:dyDescent="0.4">
      <c r="B31" s="1140"/>
      <c r="C31" s="1652"/>
      <c r="D31" s="1779" t="s">
        <v>1714</v>
      </c>
      <c r="E31" s="1779"/>
      <c r="F31" s="1780"/>
      <c r="G31" s="1783">
        <f>IFERROR(IF(G21="No Aplica","No Aplica",IF(G29="No Aplica","No Aplica",AVERAGE(G21,G29))),"")</f>
        <v>1</v>
      </c>
      <c r="H31" s="1785">
        <f>IFERROR(IF(H21="No Aplica","No Aplica",IF(H29="No Aplica","No Aplica",AVERAGE(H21,H29))),"")</f>
        <v>0.77979422058481185</v>
      </c>
      <c r="I31" s="1787">
        <f>IFERROR(IF(I21="No Aplica","No Aplica",IF(I29="No Aplica","No Aplica",AVERAGE(I21,I29))),"")</f>
        <v>0.80361579041393982</v>
      </c>
      <c r="J31" s="1788">
        <f>IFERROR(IF(J21="No Aplica","No Aplica",IF(J29="No Aplica","No Aplica",AVERAGE(J21,J29))),"")</f>
        <v>0.73259884790203089</v>
      </c>
      <c r="K31" s="1739">
        <f>IFERROR(AVERAGE(K21,K29),"")</f>
        <v>0.69557343806194361</v>
      </c>
      <c r="L31" s="1149" t="s">
        <v>1714</v>
      </c>
      <c r="M31" s="828"/>
      <c r="N31" s="826"/>
      <c r="P31" s="829"/>
    </row>
    <row r="32" spans="2:17" ht="35.25" customHeight="1" thickBot="1" x14ac:dyDescent="0.45">
      <c r="B32" s="1140"/>
      <c r="C32" s="1653"/>
      <c r="D32" s="1781"/>
      <c r="E32" s="1781"/>
      <c r="F32" s="1782"/>
      <c r="G32" s="1784"/>
      <c r="H32" s="1786"/>
      <c r="I32" s="1786"/>
      <c r="J32" s="1788"/>
      <c r="K32" s="1740"/>
      <c r="L32" s="1150" t="str">
        <f>IF(G31="No Aplica","No Aplica",IF(AND(AVERAGE(H31:J31)&gt;=75%,AVERAGE(H31:J31)&lt;=100%),"Favorable",IF(AND(AVERAGE(H31:J31)&gt;=65%,AVERAGE(H31:J31)&lt;75%),"Con Observaciones","Desfavorable")))</f>
        <v>Favorable</v>
      </c>
      <c r="M32" s="828"/>
      <c r="N32" s="826"/>
      <c r="P32" s="829"/>
    </row>
    <row r="33" spans="2:12" ht="24.75" customHeight="1" x14ac:dyDescent="0.4">
      <c r="B33" s="1668" t="s">
        <v>1522</v>
      </c>
      <c r="C33" s="1671" t="s">
        <v>1522</v>
      </c>
      <c r="D33" s="1674">
        <f>SUM(D12:D30)</f>
        <v>1</v>
      </c>
      <c r="E33" s="1677" t="s">
        <v>1523</v>
      </c>
      <c r="F33" s="1678"/>
      <c r="G33" s="1679"/>
      <c r="H33" s="942" t="str">
        <f>IFERROR(IF(D23="No Aplica",IF(D17="No Aplica",H16,((D12*H16)+(D17*H21))/(D12+D17)),IF(D17="No Aplica",((D12*H16)+(D23*H29))/(D12+D23),((D12*H16)+(D17*H21)+(D23*H29))/(D12+D17+D23))),"")</f>
        <v/>
      </c>
      <c r="I33" s="942">
        <f>IF(I16="No Aplica",IF(G29="No Aplica","",(D23*I29)/D23),IF(G29="No Aplica",(D12*I16)/D12,((D12*I16)+(D23*I29))/(D12+D23)))</f>
        <v>0.81430881371096397</v>
      </c>
      <c r="J33" s="943">
        <f>IF(G29="No Aplica","",(D23*J29)/D23)</f>
        <v>0.73259884790203089</v>
      </c>
      <c r="K33" s="1793">
        <f>IFERROR(AVERAGE(K16,K31),"")</f>
        <v>0.80910216020744241</v>
      </c>
      <c r="L33"/>
    </row>
    <row r="34" spans="2:12" ht="26.25" customHeight="1" thickBot="1" x14ac:dyDescent="0.45">
      <c r="B34" s="1669"/>
      <c r="C34" s="1672"/>
      <c r="D34" s="1675"/>
      <c r="E34" s="1680" t="s">
        <v>1524</v>
      </c>
      <c r="F34" s="1681"/>
      <c r="G34" s="1682"/>
      <c r="H34" s="832" t="str">
        <f>IF(H33="","",(IF(H33&gt;=75%,"EFICAZ","INEFICAZ")))</f>
        <v/>
      </c>
      <c r="I34" s="832" t="str">
        <f>IF(I33="","",(IF(I33&gt;=75%,"EFICIENTE","INEFICIENTE")))</f>
        <v>EFICIENTE</v>
      </c>
      <c r="J34" s="844" t="str">
        <f>IF(J33="","",(IF(J33&gt;=75%,"ECONOMICA","ANTIECONOMICA")))</f>
        <v>ANTIECONOMICA</v>
      </c>
      <c r="K34" s="1794"/>
      <c r="L34"/>
    </row>
    <row r="35" spans="2:12" ht="32.4" customHeight="1" thickBot="1" x14ac:dyDescent="0.45">
      <c r="B35" s="1670"/>
      <c r="C35" s="1673"/>
      <c r="D35" s="1676"/>
      <c r="E35" s="1683" t="str">
        <f>IF(K33="","",IF(VLOOKUP($D$5,TablaSujetos215[],3,FALSE)="MIXTA&lt;50","CONCEPTO DE GESTIÓN Y RENTABILIDAD FINANCIERA",IF(VLOOKUP($D$5,TablaSujetos215[],3,FALSE)="CORPORACION","CONCEPTO DE GESTIÓN DEL GASTO DE LOS RECURSOS PÚBLICOS","FENECIMIENTO")))</f>
        <v>FENECIMIENTO</v>
      </c>
      <c r="F35" s="1683"/>
      <c r="G35" s="1683"/>
      <c r="H35" s="1770" t="str">
        <f>IF(OR(E$35="",K33=""),"",IF($E$35="CONCEPTO DE GESTIÓN Y RENTABILIDAD FINANCIERA",IF($K$33&lt;75%,"INEFECTIVO","EFECTIVO"),IF($K$33&lt;75%,"NO SE FENECE","SE FENECE")))</f>
        <v>SE FENECE</v>
      </c>
      <c r="I35" s="1771"/>
      <c r="J35" s="1771"/>
      <c r="K35" s="1772"/>
    </row>
    <row r="36" spans="2:12" ht="21.75" customHeight="1" thickBot="1" x14ac:dyDescent="0.45">
      <c r="B36" s="833"/>
      <c r="C36" s="834"/>
      <c r="D36" s="835"/>
      <c r="E36" s="836"/>
      <c r="F36" s="836"/>
      <c r="G36" s="836"/>
      <c r="H36" s="837"/>
      <c r="I36" s="837"/>
      <c r="J36" s="837"/>
      <c r="K36"/>
      <c r="L36"/>
    </row>
    <row r="37" spans="2:12" ht="21" customHeight="1" x14ac:dyDescent="0.4">
      <c r="B37" s="1636" t="s">
        <v>1525</v>
      </c>
      <c r="C37" s="1637"/>
      <c r="D37" s="1638"/>
      <c r="E37" s="1642" t="s">
        <v>1526</v>
      </c>
      <c r="F37" s="1642"/>
      <c r="G37" s="1643"/>
      <c r="H37" s="1163">
        <v>0.74</v>
      </c>
      <c r="I37" s="838"/>
      <c r="J37" s="839"/>
      <c r="K37"/>
      <c r="L37"/>
    </row>
    <row r="38" spans="2:12" ht="21" customHeight="1" thickBot="1" x14ac:dyDescent="0.45">
      <c r="B38" s="1639"/>
      <c r="C38" s="1640"/>
      <c r="D38" s="1641"/>
      <c r="E38" s="1644"/>
      <c r="F38" s="1644"/>
      <c r="G38" s="1645"/>
      <c r="H38" s="841" t="str">
        <f>IF(H37="","",IF(AND(AVERAGE(H37)&gt;=75%,AVERAGE(H37)&lt;=100%),"EFICIENTE",IF(AND(AVERAGE(H37)&gt;=50%,AVERAGE(H37)&lt;75%),"CON DEFICIENCIAS","INEFICIENTE")))</f>
        <v>CON DEFICIENCIAS</v>
      </c>
    </row>
    <row r="39" spans="2:12" ht="21" customHeight="1" x14ac:dyDescent="0.4">
      <c r="B39" s="842"/>
      <c r="C39" s="1637" t="s">
        <v>1527</v>
      </c>
      <c r="D39" s="1638"/>
      <c r="E39" s="1646" t="s">
        <v>1526</v>
      </c>
      <c r="F39" s="1642"/>
      <c r="G39" s="1643"/>
      <c r="H39" s="1163">
        <v>0.74</v>
      </c>
    </row>
    <row r="40" spans="2:12" ht="21" customHeight="1" thickBot="1" x14ac:dyDescent="0.45">
      <c r="B40" s="842"/>
      <c r="C40" s="1640"/>
      <c r="D40" s="1641"/>
      <c r="E40" s="1647"/>
      <c r="F40" s="1644"/>
      <c r="G40" s="1645"/>
      <c r="H40" s="841" t="str">
        <f>IF(H39="","",IF(AND(AVERAGE(H39)&gt;=75%,AVERAGE(H39)&lt;=100%),"EFICIENTE",IF(AND(AVERAGE(H39)&gt;=50%,AVERAGE(H39)&lt;75%),"CON DEFICIENCIAS","INEFICIENTE")))</f>
        <v>CON DEFICIENCIAS</v>
      </c>
    </row>
    <row r="41" spans="2:12" ht="21" customHeight="1" x14ac:dyDescent="0.4">
      <c r="B41" s="1174" t="s">
        <v>1528</v>
      </c>
      <c r="C41" s="1637" t="s">
        <v>1735</v>
      </c>
      <c r="D41" s="1638"/>
      <c r="E41" s="1646" t="s">
        <v>1734</v>
      </c>
      <c r="F41" s="1642"/>
      <c r="G41" s="1643"/>
      <c r="H41" s="843">
        <v>0.75</v>
      </c>
      <c r="I41" s="843">
        <v>0.75</v>
      </c>
      <c r="J41" s="845"/>
    </row>
    <row r="42" spans="2:12" ht="21" customHeight="1" thickBot="1" x14ac:dyDescent="0.45">
      <c r="B42" s="1175"/>
      <c r="C42" s="1640"/>
      <c r="D42" s="1641"/>
      <c r="E42" s="1647"/>
      <c r="F42" s="1644"/>
      <c r="G42" s="1645"/>
      <c r="H42" s="841" t="str">
        <f>IF(H41="","",(IF(H41&gt;=75%,"EFICAZ","INEFICAZ")))</f>
        <v>EFICAZ</v>
      </c>
      <c r="I42" s="841" t="str">
        <f>IF(I41="","",(IF(I41&gt;=75%,"EFICIENTE","INEFICIENTE")))</f>
        <v>EFICIENTE</v>
      </c>
      <c r="J42" s="845"/>
    </row>
    <row r="43" spans="2:12" ht="15" customHeight="1" x14ac:dyDescent="0.4">
      <c r="B43" s="846"/>
      <c r="C43" s="846"/>
      <c r="D43" s="846"/>
      <c r="E43" s="846"/>
      <c r="F43" s="847"/>
      <c r="G43" s="847"/>
      <c r="H43" s="935"/>
    </row>
    <row r="44" spans="2:12" ht="15" customHeight="1" x14ac:dyDescent="0.4">
      <c r="B44" s="846"/>
      <c r="C44" s="846"/>
      <c r="D44" s="846"/>
      <c r="E44" s="846"/>
      <c r="F44" s="847"/>
      <c r="G44" s="847"/>
      <c r="H44" s="935"/>
      <c r="I44" s="935"/>
      <c r="J44" s="935"/>
      <c r="K44" s="845"/>
      <c r="L44" s="840"/>
    </row>
    <row r="45" spans="2:12" s="1275" customFormat="1" ht="15" customHeight="1" x14ac:dyDescent="0.4">
      <c r="B45" s="846"/>
      <c r="C45" s="846"/>
      <c r="D45" s="846"/>
      <c r="E45" s="846"/>
      <c r="F45" s="1280"/>
      <c r="G45" s="1280"/>
      <c r="H45" s="935"/>
      <c r="I45" s="935"/>
      <c r="J45" s="935"/>
      <c r="K45" s="935"/>
      <c r="L45" s="1281"/>
    </row>
    <row r="46" spans="2:12" s="1275" customFormat="1" ht="15" customHeight="1" x14ac:dyDescent="0.4">
      <c r="B46" s="51"/>
      <c r="C46" s="51"/>
      <c r="D46" s="726" t="s">
        <v>842</v>
      </c>
      <c r="E46" s="726" t="s">
        <v>1333</v>
      </c>
      <c r="G46" s="1280"/>
      <c r="H46" s="935"/>
      <c r="I46" s="935"/>
      <c r="J46" s="935"/>
      <c r="K46" s="935"/>
      <c r="L46" s="1282"/>
    </row>
    <row r="47" spans="2:12" s="1275" customFormat="1" ht="29.25" customHeight="1" x14ac:dyDescent="0.4">
      <c r="C47" s="1694" t="s">
        <v>673</v>
      </c>
      <c r="D47" s="232"/>
      <c r="E47" s="1284"/>
      <c r="F47" s="848"/>
      <c r="G47" s="848"/>
      <c r="H47" s="1285" t="s">
        <v>1529</v>
      </c>
      <c r="I47" s="1695"/>
      <c r="J47" s="1695"/>
      <c r="K47" s="935"/>
      <c r="L47" s="935"/>
    </row>
    <row r="48" spans="2:12" s="1275" customFormat="1" ht="33" customHeight="1" x14ac:dyDescent="0.4">
      <c r="C48" s="1694"/>
      <c r="D48" s="232"/>
      <c r="E48" s="1284"/>
      <c r="F48" s="849"/>
      <c r="G48" s="848"/>
      <c r="H48" s="1286"/>
      <c r="I48" s="1696" t="s">
        <v>1333</v>
      </c>
      <c r="J48" s="1696"/>
      <c r="K48" s="935"/>
      <c r="L48" s="935"/>
    </row>
    <row r="49" spans="2:12" s="1275" customFormat="1" ht="33" customHeight="1" x14ac:dyDescent="0.4">
      <c r="C49" s="1694"/>
      <c r="D49" s="232"/>
      <c r="E49" s="1284"/>
      <c r="F49" s="849"/>
      <c r="G49" s="848"/>
      <c r="H49" s="1285" t="s">
        <v>1530</v>
      </c>
      <c r="I49" s="1698"/>
      <c r="J49" s="1698"/>
      <c r="K49" s="1259"/>
      <c r="L49" s="935"/>
    </row>
    <row r="50" spans="2:12" s="1275" customFormat="1" ht="33" customHeight="1" x14ac:dyDescent="0.4">
      <c r="C50" s="1694"/>
      <c r="D50" s="232"/>
      <c r="E50" s="1284"/>
      <c r="F50" s="849"/>
      <c r="G50" s="848"/>
      <c r="H50" s="1286"/>
      <c r="I50" s="1259"/>
      <c r="J50" s="1259"/>
      <c r="K50" s="1259"/>
      <c r="L50" s="935"/>
    </row>
    <row r="51" spans="2:12" s="1275" customFormat="1" ht="33" customHeight="1" x14ac:dyDescent="0.4">
      <c r="C51" s="1694"/>
      <c r="D51" s="232"/>
      <c r="E51" s="1284"/>
      <c r="F51" s="849"/>
      <c r="G51" s="848"/>
      <c r="H51" s="1286"/>
      <c r="I51" s="1259"/>
      <c r="J51" s="1259"/>
      <c r="K51" s="1142"/>
      <c r="L51" s="1259"/>
    </row>
    <row r="52" spans="2:12" s="1275" customFormat="1" ht="33" customHeight="1" x14ac:dyDescent="0.4">
      <c r="C52" s="1694"/>
      <c r="D52" s="232"/>
      <c r="E52" s="1284"/>
      <c r="F52" s="849"/>
      <c r="G52" s="848"/>
      <c r="H52" s="1286"/>
      <c r="I52" s="1259"/>
      <c r="J52" s="1259"/>
      <c r="K52" s="1259"/>
      <c r="L52" s="1259"/>
    </row>
    <row r="53" spans="2:12" s="1275" customFormat="1" ht="33" customHeight="1" x14ac:dyDescent="0.4">
      <c r="C53" s="1694"/>
      <c r="D53" s="232"/>
      <c r="E53" s="1284"/>
      <c r="F53" s="849"/>
      <c r="G53" s="848"/>
      <c r="H53" s="1286"/>
      <c r="I53" s="1259"/>
      <c r="J53" s="1259"/>
      <c r="K53" s="1259"/>
      <c r="L53" s="1142"/>
    </row>
    <row r="54" spans="2:12" s="1275" customFormat="1" ht="33" customHeight="1" x14ac:dyDescent="0.4">
      <c r="C54" s="1694"/>
      <c r="D54" s="232"/>
      <c r="E54" s="1284"/>
      <c r="F54" s="849"/>
      <c r="G54" s="848"/>
      <c r="H54" s="1286"/>
      <c r="I54" s="1259"/>
      <c r="J54" s="1259"/>
      <c r="K54" s="1259"/>
      <c r="L54" s="1259"/>
    </row>
    <row r="55" spans="2:12" s="1275" customFormat="1" ht="30.75" customHeight="1" x14ac:dyDescent="0.4">
      <c r="C55" s="1694"/>
      <c r="D55" s="232"/>
      <c r="E55" s="1284"/>
      <c r="F55" s="849"/>
      <c r="G55" s="850"/>
      <c r="H55" s="1287"/>
      <c r="I55" s="848"/>
      <c r="J55" s="848"/>
      <c r="K55" s="1259"/>
      <c r="L55" s="1259"/>
    </row>
    <row r="56" spans="2:12" s="1275" customFormat="1" x14ac:dyDescent="0.4">
      <c r="C56" s="1694" t="s">
        <v>1334</v>
      </c>
      <c r="D56" s="232"/>
      <c r="E56" s="1284"/>
      <c r="F56" s="849"/>
      <c r="G56" s="851"/>
      <c r="J56" s="852"/>
      <c r="K56" s="1259"/>
      <c r="L56" s="1259"/>
    </row>
    <row r="57" spans="2:12" s="1275" customFormat="1" x14ac:dyDescent="0.4">
      <c r="C57" s="1694"/>
      <c r="D57" s="232"/>
      <c r="E57" s="1284"/>
      <c r="F57" s="849"/>
      <c r="G57" s="848"/>
      <c r="H57" s="848"/>
      <c r="I57" s="848"/>
      <c r="J57" s="848"/>
      <c r="K57" s="848"/>
      <c r="L57" s="1259"/>
    </row>
    <row r="58" spans="2:12" s="1275" customFormat="1" x14ac:dyDescent="0.4">
      <c r="C58" s="1694"/>
      <c r="D58" s="232"/>
      <c r="E58" s="1284"/>
      <c r="F58" s="849"/>
      <c r="G58" s="848"/>
      <c r="H58" s="848"/>
      <c r="I58" s="848"/>
      <c r="J58" s="848"/>
      <c r="K58" s="852"/>
      <c r="L58" s="1259"/>
    </row>
    <row r="59" spans="2:12" s="1275" customFormat="1" ht="48.75" customHeight="1" x14ac:dyDescent="0.4">
      <c r="C59" s="1101" t="s">
        <v>1335</v>
      </c>
      <c r="D59" s="1697"/>
      <c r="E59" s="1697"/>
      <c r="F59" s="849"/>
      <c r="G59" s="848"/>
      <c r="H59" s="848"/>
      <c r="I59" s="848"/>
      <c r="J59" s="848"/>
      <c r="K59" s="848"/>
      <c r="L59" s="848"/>
    </row>
    <row r="60" spans="2:12" s="1275" customFormat="1" x14ac:dyDescent="0.4">
      <c r="C60" s="1101" t="s">
        <v>674</v>
      </c>
      <c r="D60" s="232"/>
      <c r="E60" s="1284"/>
      <c r="F60" s="849"/>
      <c r="G60" s="848"/>
      <c r="H60" s="848"/>
      <c r="I60" s="848"/>
      <c r="J60" s="848"/>
      <c r="K60" s="848"/>
      <c r="L60" s="852"/>
    </row>
    <row r="61" spans="2:12" s="1275" customFormat="1" x14ac:dyDescent="0.4">
      <c r="B61" s="853"/>
      <c r="C61" s="853"/>
      <c r="D61" s="849"/>
      <c r="E61" s="849"/>
      <c r="F61" s="848"/>
      <c r="G61" s="848"/>
      <c r="H61" s="848"/>
      <c r="I61" s="848"/>
      <c r="J61" s="848"/>
      <c r="K61" s="848"/>
      <c r="L61" s="848"/>
    </row>
    <row r="62" spans="2:12" s="1275" customFormat="1" x14ac:dyDescent="0.4">
      <c r="B62" s="1257"/>
      <c r="C62" s="1257"/>
      <c r="D62" s="1257"/>
      <c r="E62" s="1257"/>
      <c r="F62" s="846"/>
      <c r="G62" s="846"/>
      <c r="H62" s="846"/>
      <c r="I62" s="846"/>
      <c r="J62" s="846"/>
      <c r="K62" s="848"/>
      <c r="L62" s="848"/>
    </row>
    <row r="63" spans="2:12" s="1275" customFormat="1" x14ac:dyDescent="0.4">
      <c r="B63" s="1257"/>
      <c r="C63" s="1257"/>
      <c r="D63" s="1257"/>
      <c r="E63" s="1257"/>
      <c r="F63" s="846"/>
      <c r="G63" s="846"/>
      <c r="H63" s="846"/>
      <c r="I63" s="846"/>
      <c r="J63" s="846"/>
      <c r="K63" s="848"/>
      <c r="L63" s="848"/>
    </row>
    <row r="64" spans="2:12" s="1275" customFormat="1" x14ac:dyDescent="0.4">
      <c r="B64" s="1692"/>
      <c r="C64" s="1692"/>
      <c r="D64" s="1692"/>
      <c r="E64" s="1692"/>
      <c r="F64" s="1692"/>
      <c r="G64" s="1257"/>
      <c r="H64" s="846"/>
      <c r="I64" s="1288"/>
      <c r="J64" s="935"/>
      <c r="K64" s="846"/>
      <c r="L64" s="848"/>
    </row>
    <row r="65" spans="2:28" s="1275" customFormat="1" x14ac:dyDescent="0.4">
      <c r="B65" s="1692"/>
      <c r="C65" s="1692"/>
      <c r="D65" s="1692"/>
      <c r="E65" s="1692"/>
      <c r="F65" s="1692"/>
      <c r="G65" s="1257"/>
      <c r="H65" s="854"/>
      <c r="I65" s="1289"/>
      <c r="J65" s="846"/>
      <c r="K65" s="846"/>
      <c r="L65" s="848"/>
    </row>
    <row r="66" spans="2:28" s="1275" customFormat="1" x14ac:dyDescent="0.4">
      <c r="B66" s="1692"/>
      <c r="C66" s="1692"/>
      <c r="D66" s="1692"/>
      <c r="E66" s="1692"/>
      <c r="F66" s="1692"/>
      <c r="G66" s="1257"/>
      <c r="H66" s="855"/>
      <c r="I66" s="1288"/>
      <c r="J66" s="1257"/>
      <c r="K66" s="935"/>
      <c r="L66" s="846"/>
    </row>
    <row r="67" spans="2:28" s="1275" customFormat="1" x14ac:dyDescent="0.4">
      <c r="B67" s="1692"/>
      <c r="C67" s="1692"/>
      <c r="D67" s="1692"/>
      <c r="E67" s="1692"/>
      <c r="F67" s="1692"/>
      <c r="G67" s="1257"/>
      <c r="H67" s="846"/>
      <c r="I67" s="846"/>
      <c r="J67" s="846"/>
      <c r="K67" s="846"/>
      <c r="L67" s="846"/>
    </row>
    <row r="68" spans="2:28" s="1275" customFormat="1" x14ac:dyDescent="0.4">
      <c r="B68" s="1692"/>
      <c r="C68" s="1692"/>
      <c r="D68" s="1692"/>
      <c r="E68" s="1692"/>
      <c r="F68" s="1692"/>
      <c r="G68" s="1257"/>
      <c r="H68" s="846"/>
      <c r="I68" s="846"/>
      <c r="J68" s="846"/>
      <c r="K68" s="1257"/>
      <c r="L68" s="935"/>
    </row>
    <row r="69" spans="2:28" s="1275" customFormat="1" x14ac:dyDescent="0.4">
      <c r="B69" s="1692"/>
      <c r="C69" s="1692"/>
      <c r="D69" s="1692"/>
      <c r="E69" s="1692"/>
      <c r="F69" s="1692"/>
      <c r="G69" s="1257"/>
      <c r="H69" s="846"/>
      <c r="I69" s="846"/>
      <c r="J69" s="846"/>
      <c r="K69" s="846"/>
      <c r="L69" s="846"/>
    </row>
    <row r="70" spans="2:28" s="1290" customFormat="1" ht="13.95" customHeight="1" x14ac:dyDescent="0.35">
      <c r="B70" s="1693"/>
      <c r="C70" s="1693"/>
      <c r="D70" s="1693"/>
      <c r="E70" s="1693"/>
      <c r="F70" s="1693"/>
      <c r="G70" s="1258"/>
      <c r="H70" s="856"/>
      <c r="I70" s="856"/>
      <c r="J70" s="856"/>
      <c r="K70" s="846"/>
      <c r="L70" s="1257"/>
    </row>
    <row r="71" spans="2:28" s="1290" customFormat="1" ht="13.95" customHeight="1" x14ac:dyDescent="0.35">
      <c r="K71" s="846"/>
      <c r="L71" s="846"/>
    </row>
    <row r="72" spans="2:28" s="1290" customFormat="1" ht="13.95" customHeight="1" x14ac:dyDescent="0.35">
      <c r="K72" s="856"/>
      <c r="L72" s="846"/>
    </row>
    <row r="73" spans="2:28" s="1290" customFormat="1" ht="13.95" customHeight="1" x14ac:dyDescent="0.35">
      <c r="L73" s="846"/>
    </row>
    <row r="74" spans="2:28" s="1290" customFormat="1" ht="13.95" customHeight="1" x14ac:dyDescent="0.3">
      <c r="L74" s="856"/>
    </row>
    <row r="75" spans="2:28" s="1290" customFormat="1" ht="13.95" customHeight="1" x14ac:dyDescent="0.3"/>
    <row r="76" spans="2:28" s="1290" customFormat="1" ht="13.95" customHeight="1" x14ac:dyDescent="0.3">
      <c r="X76" s="1291"/>
    </row>
    <row r="77" spans="2:28" s="1290" customFormat="1" ht="13.95" customHeight="1" x14ac:dyDescent="0.3">
      <c r="D77" s="1292"/>
      <c r="E77" s="1292"/>
      <c r="X77" s="1291"/>
      <c r="Y77" s="1293"/>
      <c r="Z77" s="1294"/>
      <c r="AA77" s="1293"/>
      <c r="AB77" s="1295"/>
    </row>
    <row r="78" spans="2:28" s="1290" customFormat="1" ht="13.95" customHeight="1" x14ac:dyDescent="0.3">
      <c r="X78" s="1291"/>
      <c r="Y78" s="1293"/>
      <c r="Z78" s="1293"/>
      <c r="AA78" s="1293"/>
      <c r="AB78" s="1296"/>
    </row>
    <row r="79" spans="2:28" s="1290" customFormat="1" ht="13.95" customHeight="1" x14ac:dyDescent="0.3">
      <c r="X79" s="1297"/>
      <c r="Y79" s="1296"/>
      <c r="Z79" s="1296"/>
      <c r="AA79" s="1296"/>
      <c r="AB79" s="1295"/>
    </row>
    <row r="80" spans="2:28" s="1290" customFormat="1" ht="13.95" customHeight="1" x14ac:dyDescent="0.3"/>
    <row r="81" spans="24:28" s="1290" customFormat="1" ht="13.95" customHeight="1" x14ac:dyDescent="0.3">
      <c r="X81" s="1298"/>
    </row>
    <row r="82" spans="24:28" s="1290" customFormat="1" ht="13.95" customHeight="1" x14ac:dyDescent="0.3">
      <c r="Y82" s="1294"/>
      <c r="Z82" s="1294"/>
      <c r="AA82" s="1294"/>
      <c r="AB82" s="1296"/>
    </row>
    <row r="83" spans="24:28" s="1290" customFormat="1" ht="13.95" customHeight="1" x14ac:dyDescent="0.3">
      <c r="Y83" s="1293"/>
      <c r="Z83" s="1296"/>
      <c r="AA83" s="1293"/>
      <c r="AB83" s="1295"/>
    </row>
    <row r="84" spans="24:28" s="1290" customFormat="1" ht="13.95" customHeight="1" x14ac:dyDescent="0.3">
      <c r="Y84" s="1293"/>
      <c r="Z84" s="1293"/>
      <c r="AA84" s="1293"/>
      <c r="AB84" s="1296"/>
    </row>
    <row r="85" spans="24:28" s="1290" customFormat="1" ht="13.95" customHeight="1" x14ac:dyDescent="0.3">
      <c r="Y85" s="1293"/>
      <c r="Z85" s="1293"/>
      <c r="AA85" s="1293"/>
      <c r="AB85" s="1296"/>
    </row>
    <row r="86" spans="24:28" s="1290" customFormat="1" ht="13.95" customHeight="1" x14ac:dyDescent="0.3">
      <c r="Y86" s="1292"/>
      <c r="Z86" s="1296"/>
      <c r="AA86" s="1292"/>
      <c r="AB86" s="1295"/>
    </row>
    <row r="87" spans="24:28" s="1290" customFormat="1" ht="13.95" customHeight="1" x14ac:dyDescent="0.3">
      <c r="Y87" s="1292"/>
      <c r="Z87" s="1296"/>
      <c r="AA87" s="1292"/>
      <c r="AB87" s="1295"/>
    </row>
    <row r="88" spans="24:28" s="1290" customFormat="1" ht="13.95" customHeight="1" x14ac:dyDescent="0.3"/>
    <row r="89" spans="24:28" s="1290" customFormat="1" ht="13.95" customHeight="1" x14ac:dyDescent="0.3"/>
    <row r="90" spans="24:28" s="1290" customFormat="1" ht="13.95" customHeight="1" x14ac:dyDescent="0.3"/>
    <row r="91" spans="24:28" s="1290" customFormat="1" ht="13.95" customHeight="1" x14ac:dyDescent="0.3">
      <c r="Y91" s="390"/>
      <c r="Z91" s="390"/>
      <c r="AA91" s="390"/>
      <c r="AB91" s="390"/>
    </row>
    <row r="92" spans="24:28" s="1290" customFormat="1" ht="13.95" customHeight="1" x14ac:dyDescent="0.3">
      <c r="Y92" s="390"/>
      <c r="Z92" s="390"/>
      <c r="AA92" s="390"/>
      <c r="AB92" s="390"/>
    </row>
    <row r="93" spans="24:28" s="1290" customFormat="1" ht="13.95" customHeight="1" x14ac:dyDescent="0.3">
      <c r="Y93" s="390"/>
      <c r="Z93" s="390"/>
      <c r="AA93" s="390"/>
      <c r="AB93" s="390"/>
    </row>
    <row r="94" spans="24:28" s="1290" customFormat="1" ht="13.95" customHeight="1" x14ac:dyDescent="0.3"/>
    <row r="95" spans="24:28" s="1290" customFormat="1" ht="13.95" customHeight="1" x14ac:dyDescent="0.3"/>
    <row r="96" spans="24:28" s="1290" customFormat="1" ht="13.95" customHeight="1" x14ac:dyDescent="0.3"/>
    <row r="97" s="1290" customFormat="1" ht="13.95" customHeight="1" x14ac:dyDescent="0.3"/>
    <row r="98" s="1290" customFormat="1" ht="13.95" customHeight="1" x14ac:dyDescent="0.3"/>
    <row r="99" s="1290" customFormat="1" ht="13.95" customHeight="1" x14ac:dyDescent="0.3"/>
    <row r="100" s="1290" customFormat="1" ht="13.95" customHeight="1" x14ac:dyDescent="0.3"/>
    <row r="101" s="1290" customFormat="1" ht="13.95" customHeight="1" x14ac:dyDescent="0.3"/>
    <row r="102" s="1290" customFormat="1" ht="13.95" customHeight="1" x14ac:dyDescent="0.3"/>
    <row r="103" s="1290" customFormat="1" ht="13.95" customHeight="1" x14ac:dyDescent="0.3"/>
    <row r="104" s="1290" customFormat="1" ht="13.95" customHeight="1" x14ac:dyDescent="0.3"/>
    <row r="105" s="1290" customFormat="1" ht="13.95" customHeight="1" x14ac:dyDescent="0.3"/>
    <row r="106" s="1290" customFormat="1" ht="13.95" customHeight="1" x14ac:dyDescent="0.3"/>
    <row r="107" s="1290" customFormat="1" ht="13.95" customHeight="1" x14ac:dyDescent="0.3"/>
    <row r="108" s="1290" customFormat="1" ht="13.95" customHeight="1" x14ac:dyDescent="0.3"/>
    <row r="109" s="1290" customFormat="1" ht="13.95" customHeight="1" x14ac:dyDescent="0.3"/>
    <row r="110" s="1290" customFormat="1" ht="13.95" customHeight="1" x14ac:dyDescent="0.3"/>
    <row r="111" s="1290" customFormat="1" ht="13.95" customHeight="1" x14ac:dyDescent="0.3"/>
    <row r="112" s="1290" customFormat="1" ht="13.95" customHeight="1" x14ac:dyDescent="0.3"/>
    <row r="113" s="1290" customFormat="1" ht="13.95" customHeight="1" x14ac:dyDescent="0.3"/>
    <row r="114" s="1290" customFormat="1" ht="13.95" customHeight="1" x14ac:dyDescent="0.3"/>
    <row r="115" s="1290" customFormat="1" ht="13.95" customHeight="1" x14ac:dyDescent="0.3"/>
    <row r="116" s="1290" customFormat="1" ht="13.95" customHeight="1" x14ac:dyDescent="0.3"/>
    <row r="117" s="1290" customFormat="1" ht="13.95" customHeight="1" x14ac:dyDescent="0.3"/>
    <row r="118" s="1290" customFormat="1" ht="13.95" customHeight="1" x14ac:dyDescent="0.3"/>
    <row r="119" s="1290" customFormat="1" ht="13.95" customHeight="1" x14ac:dyDescent="0.3"/>
    <row r="120" s="1290" customFormat="1" ht="13.95" customHeight="1" x14ac:dyDescent="0.3"/>
    <row r="121" s="1290" customFormat="1" ht="13.95" customHeight="1" x14ac:dyDescent="0.3"/>
    <row r="122" s="1290" customFormat="1" ht="13.95" customHeight="1" x14ac:dyDescent="0.3"/>
    <row r="123" s="1290" customFormat="1" ht="13.95" customHeight="1" x14ac:dyDescent="0.3"/>
    <row r="124" s="1290" customFormat="1" ht="13.95" customHeight="1" x14ac:dyDescent="0.3"/>
    <row r="125" s="1290" customFormat="1" ht="13.95" customHeight="1" x14ac:dyDescent="0.3"/>
    <row r="126" s="1290" customFormat="1" ht="13.95" customHeight="1" x14ac:dyDescent="0.3"/>
    <row r="127" s="1290" customFormat="1" ht="13.95" customHeight="1" x14ac:dyDescent="0.3"/>
    <row r="128" s="1290" customFormat="1" ht="13.95" customHeight="1" x14ac:dyDescent="0.3"/>
    <row r="129" s="1290" customFormat="1" ht="13.95" customHeight="1" x14ac:dyDescent="0.3"/>
    <row r="130" s="1290" customFormat="1" ht="13.95" customHeight="1" x14ac:dyDescent="0.3"/>
    <row r="131" s="1290" customFormat="1" ht="13.95" customHeight="1" x14ac:dyDescent="0.3"/>
    <row r="132" s="1290" customFormat="1" ht="13.95" customHeight="1" x14ac:dyDescent="0.3"/>
    <row r="133" s="1290" customFormat="1" ht="13.95" customHeight="1" x14ac:dyDescent="0.3"/>
    <row r="134" s="1290" customFormat="1" ht="13.95" customHeight="1" x14ac:dyDescent="0.3"/>
    <row r="135" s="1290" customFormat="1" ht="13.95" customHeight="1" x14ac:dyDescent="0.3"/>
    <row r="136" s="1290" customFormat="1" ht="13.95" customHeight="1" x14ac:dyDescent="0.3"/>
    <row r="137" s="1290" customFormat="1" ht="13.95" customHeight="1" x14ac:dyDescent="0.3"/>
    <row r="138" s="1290" customFormat="1" ht="13.95" customHeight="1" x14ac:dyDescent="0.3"/>
    <row r="139" s="1290" customFormat="1" ht="13.95" customHeight="1" x14ac:dyDescent="0.3"/>
    <row r="140" s="1290" customFormat="1" ht="13.95" customHeight="1" x14ac:dyDescent="0.3"/>
    <row r="141" s="1290" customFormat="1" ht="13.95" customHeight="1" x14ac:dyDescent="0.3"/>
    <row r="142" s="1290" customFormat="1" ht="13.95" customHeight="1" x14ac:dyDescent="0.3"/>
    <row r="143" s="1290" customFormat="1" ht="13.95" customHeight="1" x14ac:dyDescent="0.3"/>
    <row r="144" s="1290" customFormat="1" ht="13.95" customHeight="1" x14ac:dyDescent="0.3"/>
    <row r="145" s="1290" customFormat="1" ht="13.95" customHeight="1" x14ac:dyDescent="0.3"/>
    <row r="146" s="1290" customFormat="1" ht="13.95" customHeight="1" x14ac:dyDescent="0.3"/>
    <row r="147" s="1290" customFormat="1" ht="13.95" customHeight="1" x14ac:dyDescent="0.3"/>
    <row r="148" s="1290" customFormat="1" ht="13.95" customHeight="1" x14ac:dyDescent="0.3"/>
    <row r="149" s="1290" customFormat="1" ht="13.95" customHeight="1" x14ac:dyDescent="0.3"/>
    <row r="150" s="1290" customFormat="1" ht="13.95" customHeight="1" x14ac:dyDescent="0.3"/>
    <row r="151" s="1290" customFormat="1" ht="13.95" customHeight="1" x14ac:dyDescent="0.3"/>
    <row r="152" s="1290" customFormat="1" ht="13.95" customHeight="1" x14ac:dyDescent="0.3"/>
    <row r="153" s="1290" customFormat="1" ht="13.95" customHeight="1" x14ac:dyDescent="0.3"/>
    <row r="154" s="1290" customFormat="1" ht="13.95" customHeight="1" x14ac:dyDescent="0.3"/>
    <row r="155" s="1290" customFormat="1" ht="13.95" customHeight="1" x14ac:dyDescent="0.3"/>
    <row r="156" s="1290" customFormat="1" ht="13.95" customHeight="1" x14ac:dyDescent="0.3"/>
    <row r="157" s="1290" customFormat="1" ht="13.95" customHeight="1" x14ac:dyDescent="0.3"/>
    <row r="158" s="1290" customFormat="1" ht="13.95" customHeight="1" x14ac:dyDescent="0.3"/>
    <row r="159" s="1290" customFormat="1" ht="13.95" customHeight="1" x14ac:dyDescent="0.3"/>
    <row r="160" s="1290" customFormat="1" ht="13.95" customHeight="1" x14ac:dyDescent="0.3"/>
    <row r="161" s="1290" customFormat="1" ht="13.95" customHeight="1" x14ac:dyDescent="0.3"/>
    <row r="162" s="1290" customFormat="1" ht="13.95" customHeight="1" x14ac:dyDescent="0.3"/>
    <row r="163" s="1290" customFormat="1" ht="13.95" customHeight="1" x14ac:dyDescent="0.3"/>
    <row r="164" s="1290" customFormat="1" ht="13.95" customHeight="1" x14ac:dyDescent="0.3"/>
    <row r="165" s="1290" customFormat="1" ht="13.95" customHeight="1" x14ac:dyDescent="0.3"/>
    <row r="166" s="1290" customFormat="1" ht="13.95" customHeight="1" x14ac:dyDescent="0.3"/>
    <row r="167" s="1290" customFormat="1" ht="13.95" customHeight="1" x14ac:dyDescent="0.3"/>
    <row r="168" s="1290" customFormat="1" ht="13.95" customHeight="1" x14ac:dyDescent="0.3"/>
    <row r="169" s="1290" customFormat="1" ht="13.95" customHeight="1" x14ac:dyDescent="0.3"/>
    <row r="170" s="1290" customFormat="1" ht="13.95" customHeight="1" x14ac:dyDescent="0.3"/>
    <row r="171" s="1290" customFormat="1" ht="13.95" customHeight="1" x14ac:dyDescent="0.3"/>
    <row r="172" s="1290" customFormat="1" ht="13.95" customHeight="1" x14ac:dyDescent="0.3"/>
    <row r="173" s="1290" customFormat="1" ht="13.95" customHeight="1" x14ac:dyDescent="0.3"/>
    <row r="174" s="1290" customFormat="1" ht="13.95" customHeight="1" x14ac:dyDescent="0.3"/>
    <row r="175" s="1290" customFormat="1" ht="13.95" customHeight="1" x14ac:dyDescent="0.3"/>
    <row r="176" s="1290" customFormat="1" ht="13.95" customHeight="1" x14ac:dyDescent="0.3"/>
    <row r="177" s="257" customFormat="1" ht="13.95" customHeight="1" x14ac:dyDescent="0.3"/>
    <row r="178" s="257" customFormat="1" ht="13.95" customHeight="1" x14ac:dyDescent="0.3"/>
    <row r="179" s="257" customFormat="1" ht="13.95" customHeight="1" x14ac:dyDescent="0.3"/>
    <row r="180" s="257" customFormat="1" ht="13.95" customHeight="1" x14ac:dyDescent="0.3"/>
    <row r="181" s="257" customFormat="1" ht="13.95" customHeight="1" x14ac:dyDescent="0.3"/>
    <row r="182" s="257" customFormat="1" ht="13.95" customHeight="1" x14ac:dyDescent="0.3"/>
    <row r="183" s="257" customFormat="1" ht="13.95" customHeight="1" x14ac:dyDescent="0.3"/>
    <row r="184" s="257" customFormat="1" ht="13.95" customHeight="1" x14ac:dyDescent="0.3"/>
    <row r="185" s="257" customFormat="1" ht="13.95" customHeight="1" x14ac:dyDescent="0.3"/>
    <row r="186" s="257" customFormat="1" ht="13.95" customHeight="1" x14ac:dyDescent="0.3"/>
    <row r="187" s="257" customFormat="1" ht="13.95" customHeight="1" x14ac:dyDescent="0.3"/>
    <row r="188" s="257" customFormat="1" ht="13.95" customHeight="1" x14ac:dyDescent="0.3"/>
    <row r="189" s="257" customFormat="1" ht="13.95" customHeight="1" x14ac:dyDescent="0.3"/>
    <row r="190" s="257" customFormat="1" ht="13.95" customHeight="1" x14ac:dyDescent="0.3"/>
    <row r="191" s="257" customFormat="1" ht="13.95" customHeight="1" x14ac:dyDescent="0.3"/>
    <row r="192" s="257" customFormat="1" ht="13.95" customHeight="1" x14ac:dyDescent="0.3"/>
    <row r="193" s="257" customFormat="1" ht="13.95" customHeight="1" x14ac:dyDescent="0.3"/>
    <row r="194" s="257" customFormat="1" ht="13.95" customHeight="1" x14ac:dyDescent="0.3"/>
    <row r="195" s="257" customFormat="1" ht="13.95" customHeight="1" x14ac:dyDescent="0.3"/>
    <row r="196" s="257" customFormat="1" ht="13.95" customHeight="1" x14ac:dyDescent="0.3"/>
    <row r="197" s="257" customFormat="1" ht="13.95" customHeight="1" x14ac:dyDescent="0.3"/>
    <row r="198" s="257" customFormat="1" ht="13.95" customHeight="1" x14ac:dyDescent="0.3"/>
    <row r="199" s="257" customFormat="1" ht="13.95" customHeight="1" x14ac:dyDescent="0.3"/>
    <row r="200" s="257" customFormat="1" ht="13.95" customHeight="1" x14ac:dyDescent="0.3"/>
    <row r="201" s="257" customFormat="1" ht="13.95" customHeight="1" x14ac:dyDescent="0.3"/>
    <row r="202" s="257" customFormat="1" ht="13.95" customHeight="1" x14ac:dyDescent="0.3"/>
    <row r="203" s="257" customFormat="1" ht="13.95" customHeight="1" x14ac:dyDescent="0.3"/>
    <row r="204" s="257" customFormat="1" ht="13.95" customHeight="1" x14ac:dyDescent="0.3"/>
    <row r="205" s="257" customFormat="1" ht="13.95" customHeight="1" x14ac:dyDescent="0.3"/>
    <row r="206" s="257" customFormat="1" ht="13.95" customHeight="1" x14ac:dyDescent="0.3"/>
    <row r="207" s="257" customFormat="1" ht="13.95" customHeight="1" x14ac:dyDescent="0.3"/>
    <row r="208" s="257" customFormat="1" ht="13.95" customHeight="1" x14ac:dyDescent="0.3"/>
    <row r="209" spans="3:9" s="257" customFormat="1" ht="13.95" customHeight="1" x14ac:dyDescent="0.3">
      <c r="C209" s="1164" t="s">
        <v>1725</v>
      </c>
      <c r="D209" s="410"/>
      <c r="E209" s="410"/>
      <c r="F209" s="1165" t="s">
        <v>1726</v>
      </c>
      <c r="G209" s="1152" t="s">
        <v>1727</v>
      </c>
      <c r="H209" s="1152" t="s">
        <v>1715</v>
      </c>
      <c r="I209" s="1153" t="s">
        <v>1716</v>
      </c>
    </row>
    <row r="210" spans="3:9" s="257" customFormat="1" ht="13.95" customHeight="1" x14ac:dyDescent="0.3">
      <c r="C210" s="1773" t="s">
        <v>1728</v>
      </c>
      <c r="D210" s="1773"/>
      <c r="E210" s="1773"/>
      <c r="F210" s="1166">
        <v>0</v>
      </c>
      <c r="G210" s="1167">
        <v>0</v>
      </c>
      <c r="H210" s="1154">
        <v>0</v>
      </c>
      <c r="I210" s="1155" t="s">
        <v>1717</v>
      </c>
    </row>
    <row r="211" spans="3:9" s="257" customFormat="1" ht="13.95" customHeight="1" x14ac:dyDescent="0.3">
      <c r="C211" s="1773" t="s">
        <v>1729</v>
      </c>
      <c r="D211" s="1773"/>
      <c r="E211" s="1773"/>
      <c r="F211" s="1166">
        <v>0.01</v>
      </c>
      <c r="G211" s="1167">
        <v>0.99</v>
      </c>
      <c r="H211" s="1154" t="s">
        <v>1718</v>
      </c>
      <c r="I211" s="1156" t="s">
        <v>1719</v>
      </c>
    </row>
    <row r="212" spans="3:9" s="257" customFormat="1" ht="13.95" customHeight="1" x14ac:dyDescent="0.3">
      <c r="C212" s="1774" t="s">
        <v>1730</v>
      </c>
      <c r="D212" s="1774"/>
      <c r="E212" s="1774"/>
      <c r="F212" s="1168">
        <v>0.99999000000000005</v>
      </c>
      <c r="G212" s="1169">
        <v>1.99</v>
      </c>
      <c r="H212" s="1157" t="s">
        <v>1720</v>
      </c>
      <c r="I212" s="1158" t="s">
        <v>1719</v>
      </c>
    </row>
    <row r="213" spans="3:9" s="257" customFormat="1" ht="13.95" customHeight="1" x14ac:dyDescent="0.3">
      <c r="C213" s="1775" t="s">
        <v>1731</v>
      </c>
      <c r="D213" s="1775"/>
      <c r="E213" s="1775"/>
      <c r="F213" s="1170">
        <v>1.9999998999999999</v>
      </c>
      <c r="G213" s="1159">
        <v>2.4900000000000002</v>
      </c>
      <c r="H213" s="1159" t="s">
        <v>1721</v>
      </c>
      <c r="I213" s="1160" t="s">
        <v>1722</v>
      </c>
    </row>
    <row r="214" spans="3:9" s="257" customFormat="1" ht="13.95" customHeight="1" x14ac:dyDescent="0.3">
      <c r="C214" s="1776" t="s">
        <v>1732</v>
      </c>
      <c r="D214" s="1776"/>
      <c r="E214" s="1776"/>
      <c r="F214" s="1171">
        <v>2.4999989999999999</v>
      </c>
      <c r="G214" s="1161">
        <v>3</v>
      </c>
      <c r="H214" s="1161" t="s">
        <v>1723</v>
      </c>
      <c r="I214" s="1162" t="s">
        <v>1724</v>
      </c>
    </row>
    <row r="215" spans="3:9" s="257" customFormat="1" ht="13.95" customHeight="1" x14ac:dyDescent="0.3"/>
    <row r="216" spans="3:9" s="257" customFormat="1" ht="13.95" customHeight="1" x14ac:dyDescent="0.3"/>
    <row r="217" spans="3:9" s="257" customFormat="1" ht="13.95" customHeight="1" x14ac:dyDescent="0.3"/>
    <row r="218" spans="3:9" s="257" customFormat="1" ht="13.95" customHeight="1" x14ac:dyDescent="0.3"/>
    <row r="219" spans="3:9" s="257" customFormat="1" ht="13.95" customHeight="1" x14ac:dyDescent="0.3"/>
    <row r="220" spans="3:9" s="257" customFormat="1" ht="13.95" customHeight="1" x14ac:dyDescent="0.3"/>
    <row r="221" spans="3:9" s="257" customFormat="1" ht="13.95" customHeight="1" x14ac:dyDescent="0.3"/>
    <row r="222" spans="3:9" s="257" customFormat="1" ht="13.95" customHeight="1" x14ac:dyDescent="0.3"/>
    <row r="223" spans="3:9" s="257" customFormat="1" ht="13.95" customHeight="1" x14ac:dyDescent="0.3"/>
    <row r="224" spans="3:9" s="257" customFormat="1" ht="13.95" customHeight="1" x14ac:dyDescent="0.3"/>
    <row r="225" spans="11:22" s="257" customFormat="1" ht="13.95" customHeight="1" x14ac:dyDescent="0.3"/>
    <row r="226" spans="11:22" s="257" customFormat="1" ht="13.95" customHeight="1" x14ac:dyDescent="0.3"/>
    <row r="227" spans="11:22" s="257" customFormat="1" ht="13.95" customHeight="1" x14ac:dyDescent="0.3"/>
    <row r="228" spans="11:22" s="257" customFormat="1" ht="13.95" customHeight="1" x14ac:dyDescent="0.3"/>
    <row r="229" spans="11:22" s="257" customFormat="1" ht="13.95" customHeight="1" x14ac:dyDescent="0.3"/>
    <row r="230" spans="11:22" s="257" customFormat="1" ht="13.95" customHeight="1" x14ac:dyDescent="0.3"/>
    <row r="231" spans="11:22" s="257" customFormat="1" ht="13.95" customHeight="1" x14ac:dyDescent="0.3"/>
    <row r="232" spans="11:22" s="257" customFormat="1" ht="13.95" customHeight="1" thickBot="1" x14ac:dyDescent="0.35"/>
    <row r="233" spans="11:22" s="257" customFormat="1" ht="13.95" customHeight="1" thickBot="1" x14ac:dyDescent="0.35">
      <c r="T233" s="857"/>
    </row>
    <row r="234" spans="11:22" s="257" customFormat="1" ht="13.95" customHeight="1" thickBot="1" x14ac:dyDescent="0.35">
      <c r="T234" s="858"/>
    </row>
    <row r="235" spans="11:22" s="257" customFormat="1" ht="13.95" customHeight="1" thickBot="1" x14ac:dyDescent="0.35">
      <c r="T235" s="859"/>
    </row>
    <row r="236" spans="11:22" ht="21.6" thickBot="1" x14ac:dyDescent="0.45">
      <c r="K236" s="257"/>
      <c r="L236" s="257"/>
      <c r="T236" s="858"/>
      <c r="U236" s="257"/>
      <c r="V236" s="257"/>
    </row>
    <row r="237" spans="11:22" ht="21.6" thickBot="1" x14ac:dyDescent="0.45">
      <c r="K237" s="257"/>
      <c r="L237" s="257"/>
      <c r="T237" s="859"/>
      <c r="U237" s="257"/>
      <c r="V237" s="257"/>
    </row>
    <row r="238" spans="11:22" ht="21.6" thickBot="1" x14ac:dyDescent="0.45">
      <c r="L238" s="257"/>
      <c r="T238" s="858"/>
      <c r="U238" s="257"/>
      <c r="V238" s="257"/>
    </row>
    <row r="239" spans="11:22" x14ac:dyDescent="0.4">
      <c r="L239" s="257"/>
    </row>
    <row r="275" spans="11:12" x14ac:dyDescent="0.4">
      <c r="K275" s="938"/>
    </row>
    <row r="277" spans="11:12" x14ac:dyDescent="0.4">
      <c r="L277" s="938"/>
    </row>
  </sheetData>
  <sheetProtection algorithmName="SHA-512" hashValue="vzHwHlGcVnvRasJ8G/XMKT6yawD6Wm6DtC1vbRkT46j/g7uD59LqPwL4vB9kyw/W1bk4CmVT1DGxhruDLLZMkQ==" saltValue="LlmbME8PtyqW+K9i5KqlfQ==" spinCount="100000" sheet="1" objects="1" scenarios="1"/>
  <protectedRanges>
    <protectedRange sqref="L28 L18 L20 L22" name="Rango3"/>
  </protectedRanges>
  <mergeCells count="115">
    <mergeCell ref="D1:K2"/>
    <mergeCell ref="H35:K35"/>
    <mergeCell ref="C210:E210"/>
    <mergeCell ref="C211:E211"/>
    <mergeCell ref="C212:E212"/>
    <mergeCell ref="C213:E213"/>
    <mergeCell ref="C214:E214"/>
    <mergeCell ref="E41:G42"/>
    <mergeCell ref="C41:D42"/>
    <mergeCell ref="D16:F16"/>
    <mergeCell ref="D12:D15"/>
    <mergeCell ref="D31:F32"/>
    <mergeCell ref="G31:G32"/>
    <mergeCell ref="H31:H32"/>
    <mergeCell ref="I31:I32"/>
    <mergeCell ref="J31:J32"/>
    <mergeCell ref="K17:K18"/>
    <mergeCell ref="K19:K20"/>
    <mergeCell ref="K21:K22"/>
    <mergeCell ref="K27:K28"/>
    <mergeCell ref="K29:K30"/>
    <mergeCell ref="K33:K34"/>
    <mergeCell ref="K23:K26"/>
    <mergeCell ref="G12:G13"/>
    <mergeCell ref="L9:L11"/>
    <mergeCell ref="L23:L24"/>
    <mergeCell ref="K31:K32"/>
    <mergeCell ref="B1:B2"/>
    <mergeCell ref="C1:C2"/>
    <mergeCell ref="B3:L3"/>
    <mergeCell ref="D4:H4"/>
    <mergeCell ref="D5:H5"/>
    <mergeCell ref="D6:F6"/>
    <mergeCell ref="D7:H7"/>
    <mergeCell ref="B9:B11"/>
    <mergeCell ref="C9:C11"/>
    <mergeCell ref="D9:D11"/>
    <mergeCell ref="E9:F11"/>
    <mergeCell ref="G9:G11"/>
    <mergeCell ref="H9:J9"/>
    <mergeCell ref="K9:K11"/>
    <mergeCell ref="I12:I13"/>
    <mergeCell ref="J12:J13"/>
    <mergeCell ref="E14:F15"/>
    <mergeCell ref="G14:G15"/>
    <mergeCell ref="H14:H15"/>
    <mergeCell ref="I14:I15"/>
    <mergeCell ref="E12:F13"/>
    <mergeCell ref="H12:H13"/>
    <mergeCell ref="K12:K13"/>
    <mergeCell ref="K14:K15"/>
    <mergeCell ref="B17:B22"/>
    <mergeCell ref="D17:D22"/>
    <mergeCell ref="E17:E20"/>
    <mergeCell ref="F17:F18"/>
    <mergeCell ref="G17:G18"/>
    <mergeCell ref="H17:H18"/>
    <mergeCell ref="I17:I18"/>
    <mergeCell ref="J17:J18"/>
    <mergeCell ref="B12:B16"/>
    <mergeCell ref="C12:C16"/>
    <mergeCell ref="F19:F20"/>
    <mergeCell ref="G19:G20"/>
    <mergeCell ref="H19:H20"/>
    <mergeCell ref="I19:I20"/>
    <mergeCell ref="J19:J20"/>
    <mergeCell ref="E21:F22"/>
    <mergeCell ref="G21:G22"/>
    <mergeCell ref="H21:H22"/>
    <mergeCell ref="G23:G26"/>
    <mergeCell ref="H23:H26"/>
    <mergeCell ref="J27:J28"/>
    <mergeCell ref="E29:F30"/>
    <mergeCell ref="G29:G30"/>
    <mergeCell ref="H29:H30"/>
    <mergeCell ref="I29:I30"/>
    <mergeCell ref="J29:J30"/>
    <mergeCell ref="J14:J15"/>
    <mergeCell ref="B65:F65"/>
    <mergeCell ref="B66:F66"/>
    <mergeCell ref="B67:F67"/>
    <mergeCell ref="B68:F68"/>
    <mergeCell ref="B69:F69"/>
    <mergeCell ref="B70:F70"/>
    <mergeCell ref="C47:C55"/>
    <mergeCell ref="I47:J47"/>
    <mergeCell ref="I48:J48"/>
    <mergeCell ref="C56:C58"/>
    <mergeCell ref="D59:E59"/>
    <mergeCell ref="B64:F64"/>
    <mergeCell ref="I49:J49"/>
    <mergeCell ref="B37:D38"/>
    <mergeCell ref="E37:G38"/>
    <mergeCell ref="C39:D40"/>
    <mergeCell ref="E39:G40"/>
    <mergeCell ref="J23:J26"/>
    <mergeCell ref="C17:C32"/>
    <mergeCell ref="B24:B30"/>
    <mergeCell ref="L25:L26"/>
    <mergeCell ref="F27:F28"/>
    <mergeCell ref="G27:G28"/>
    <mergeCell ref="H27:H28"/>
    <mergeCell ref="I27:I28"/>
    <mergeCell ref="I23:I26"/>
    <mergeCell ref="B33:B35"/>
    <mergeCell ref="C33:C35"/>
    <mergeCell ref="D33:D35"/>
    <mergeCell ref="E33:G33"/>
    <mergeCell ref="E34:G34"/>
    <mergeCell ref="E35:G35"/>
    <mergeCell ref="I21:I22"/>
    <mergeCell ref="J21:J22"/>
    <mergeCell ref="D23:D30"/>
    <mergeCell ref="E23:E28"/>
    <mergeCell ref="F23:F26"/>
  </mergeCells>
  <conditionalFormatting sqref="H35 H36:J36">
    <cfRule type="cellIs" dxfId="270" priority="109" operator="equal">
      <formula>"NO FENECE"</formula>
    </cfRule>
    <cfRule type="containsText" dxfId="269" priority="112" operator="containsText" text="INEFECTIVO">
      <formula>NOT(ISERROR(SEARCH("INEFECTIVO",H35)))</formula>
    </cfRule>
    <cfRule type="containsText" dxfId="268" priority="113" operator="containsText" text="EFECTIVO">
      <formula>NOT(ISERROR(SEARCH("EFECTIVO",H35)))</formula>
    </cfRule>
  </conditionalFormatting>
  <conditionalFormatting sqref="H35:H36">
    <cfRule type="cellIs" dxfId="267" priority="110" operator="equal">
      <formula>"FENECE"</formula>
    </cfRule>
    <cfRule type="containsText" dxfId="266" priority="124" stopIfTrue="1" operator="containsText" text="NO SE FENECE">
      <formula>NOT(ISERROR(SEARCH("NO SE FENECE",H35)))</formula>
    </cfRule>
    <cfRule type="containsText" dxfId="265" priority="125" stopIfTrue="1" operator="containsText" text="SE FENECE">
      <formula>NOT(ISERROR(SEARCH("SE FENECE",H35)))</formula>
    </cfRule>
  </conditionalFormatting>
  <conditionalFormatting sqref="H38">
    <cfRule type="expression" dxfId="264" priority="29">
      <formula>$H$38="CON DEFICIENCIAS"</formula>
    </cfRule>
    <cfRule type="expression" dxfId="263" priority="30">
      <formula>$H$38="EFICIENTE"</formula>
    </cfRule>
    <cfRule type="expression" dxfId="262" priority="31">
      <formula>$H$38="INEFICIENTE"</formula>
    </cfRule>
  </conditionalFormatting>
  <conditionalFormatting sqref="H40">
    <cfRule type="expression" dxfId="261" priority="111">
      <formula>$H$40="CON DEFICIENCIAS"</formula>
    </cfRule>
    <cfRule type="expression" dxfId="260" priority="122">
      <formula>$H$40="EFICIENTE"</formula>
    </cfRule>
    <cfRule type="expression" dxfId="259" priority="123">
      <formula>$H$40="INEFICIENTE"</formula>
    </cfRule>
  </conditionalFormatting>
  <conditionalFormatting sqref="H42">
    <cfRule type="expression" dxfId="258" priority="27">
      <formula>$H$42="EFICAZ"</formula>
    </cfRule>
    <cfRule type="expression" dxfId="257" priority="28">
      <formula>$H$42="INEFICAZ"</formula>
    </cfRule>
  </conditionalFormatting>
  <conditionalFormatting sqref="H34:I34">
    <cfRule type="containsText" dxfId="256" priority="128" stopIfTrue="1" operator="containsText" text="EFICAZ">
      <formula>NOT(ISERROR(SEARCH("EFICAZ",H34)))</formula>
    </cfRule>
    <cfRule type="containsText" dxfId="255" priority="129" stopIfTrue="1" operator="containsText" text="INEFICAZ">
      <formula>NOT(ISERROR(SEARCH("INEFICAZ",H34)))</formula>
    </cfRule>
  </conditionalFormatting>
  <conditionalFormatting sqref="H33:J33">
    <cfRule type="cellIs" dxfId="254" priority="116" operator="between">
      <formula>0.75</formula>
      <formula>1</formula>
    </cfRule>
    <cfRule type="cellIs" dxfId="253" priority="117" operator="between">
      <formula>0</formula>
      <formula>0.749</formula>
    </cfRule>
  </conditionalFormatting>
  <conditionalFormatting sqref="I42">
    <cfRule type="expression" dxfId="252" priority="6">
      <formula>$I$42="EFICIENTE"</formula>
    </cfRule>
    <cfRule type="expression" dxfId="251" priority="7">
      <formula>$I$42="INEFICIENTE"</formula>
    </cfRule>
  </conditionalFormatting>
  <conditionalFormatting sqref="J34">
    <cfRule type="containsText" dxfId="250" priority="126" stopIfTrue="1" operator="containsText" text="ANTIECONOMICA">
      <formula>NOT(ISERROR(SEARCH("ANTIECONOMICA",J34)))</formula>
    </cfRule>
    <cfRule type="containsText" dxfId="249" priority="127" stopIfTrue="1" operator="containsText" text="ECONOMICA">
      <formula>NOT(ISERROR(SEARCH("ECONOMICA",J34)))</formula>
    </cfRule>
  </conditionalFormatting>
  <conditionalFormatting sqref="K33:K34">
    <cfRule type="cellIs" dxfId="248" priority="62" operator="lessThan">
      <formula>0.75</formula>
    </cfRule>
    <cfRule type="cellIs" dxfId="247" priority="63" operator="greaterThanOrEqual">
      <formula>0.75</formula>
    </cfRule>
  </conditionalFormatting>
  <conditionalFormatting sqref="L13">
    <cfRule type="containsText" dxfId="246" priority="86" operator="containsText" text="No razonable">
      <formula>NOT(ISERROR(SEARCH("No razonable",L13)))</formula>
    </cfRule>
    <cfRule type="containsText" dxfId="245" priority="87" operator="containsText" text="neg">
      <formula>NOT(ISERROR(SEARCH("neg",L13)))</formula>
    </cfRule>
    <cfRule type="containsText" dxfId="244" priority="88" operator="containsText" text="Razonable">
      <formula>NOT(ISERROR(SEARCH("Razonable",L13)))</formula>
    </cfRule>
    <cfRule type="containsText" dxfId="243" priority="89" operator="containsText" text="NEGATIVA">
      <formula>NOT(ISERROR(SEARCH("NEGATIVA",L13)))</formula>
    </cfRule>
    <cfRule type="containsText" dxfId="242" priority="90" operator="containsText" text="ABSTENCIÓN">
      <formula>NOT(ISERROR(SEARCH("ABSTENCIÓN",L13)))</formula>
    </cfRule>
    <cfRule type="containsText" dxfId="241" priority="91" operator="containsText" text="CON SALVEDADES">
      <formula>NOT(ISERROR(SEARCH("CON SALVEDADES",L13)))</formula>
    </cfRule>
  </conditionalFormatting>
  <conditionalFormatting sqref="L15">
    <cfRule type="containsText" dxfId="240" priority="77" operator="containsText" text="No Aplica">
      <formula>NOT(ISERROR(SEARCH("No Aplica",L15)))</formula>
    </cfRule>
    <cfRule type="containsText" dxfId="239" priority="92" operator="containsText" text="Inefectivo">
      <formula>NOT(ISERROR(SEARCH("Inefectivo",L15)))</formula>
    </cfRule>
    <cfRule type="expression" dxfId="238" priority="93">
      <formula>"""Con Observaciones"""</formula>
    </cfRule>
    <cfRule type="containsText" dxfId="237" priority="94" operator="containsText" text="Efectivo">
      <formula>NOT(ISERROR(SEARCH("Efectivo",L15)))</formula>
    </cfRule>
  </conditionalFormatting>
  <conditionalFormatting sqref="L16">
    <cfRule type="expression" dxfId="236" priority="51">
      <formula>$J$16="La calificación de los principios de Desempeño Financiero debe ser 0%, porque no hay razonabilidad de Estados Financieros"</formula>
    </cfRule>
  </conditionalFormatting>
  <conditionalFormatting sqref="L18">
    <cfRule type="containsText" dxfId="235" priority="8" operator="containsText" text="No Aplica">
      <formula>NOT(ISERROR(SEARCH("No Aplica",L18)))</formula>
    </cfRule>
    <cfRule type="containsText" dxfId="234" priority="47" operator="containsText" text="Razonable">
      <formula>NOT(ISERROR(SEARCH("Razonable",L18)))</formula>
    </cfRule>
    <cfRule type="expression" dxfId="233" priority="48">
      <formula>$J$18="Abstención"</formula>
    </cfRule>
    <cfRule type="containsText" dxfId="232" priority="49" operator="containsText" text="Con Salvedades">
      <formula>NOT(ISERROR(SEARCH("Con Salvedades",L18)))</formula>
    </cfRule>
    <cfRule type="containsText" dxfId="231" priority="50" operator="containsText" text="No Razonable">
      <formula>NOT(ISERROR(SEARCH("No Razonable",L18)))</formula>
    </cfRule>
  </conditionalFormatting>
  <conditionalFormatting sqref="L20">
    <cfRule type="containsText" dxfId="230" priority="43" operator="containsText" text="Razonable">
      <formula>NOT(ISERROR(SEARCH("Razonable",L20)))</formula>
    </cfRule>
    <cfRule type="expression" dxfId="229" priority="44">
      <formula>$J$20="Abstención"</formula>
    </cfRule>
    <cfRule type="containsText" dxfId="228" priority="45" operator="containsText" text="Con Salvedades">
      <formula>NOT(ISERROR(SEARCH("Con Salvedades",L20)))</formula>
    </cfRule>
    <cfRule type="containsText" dxfId="227" priority="46" operator="containsText" text="No Razonable">
      <formula>NOT(ISERROR(SEARCH("No Razonable",L20)))</formula>
    </cfRule>
  </conditionalFormatting>
  <conditionalFormatting sqref="L22">
    <cfRule type="containsText" dxfId="226" priority="39" operator="containsText" text="Razonable">
      <formula>NOT(ISERROR(SEARCH("Razonable",L22)))</formula>
    </cfRule>
    <cfRule type="containsText" dxfId="225" priority="40" operator="containsText" text="Abstención">
      <formula>NOT(ISERROR(SEARCH("Abstención",L22)))</formula>
    </cfRule>
    <cfRule type="containsText" dxfId="224" priority="41" operator="containsText" text="Con Salvedades">
      <formula>NOT(ISERROR(SEARCH("Con Salvedades",L22)))</formula>
    </cfRule>
    <cfRule type="containsText" dxfId="223" priority="42" operator="containsText" text="No Razonable">
      <formula>NOT(ISERROR(SEARCH("No Razonable",L22)))</formula>
    </cfRule>
  </conditionalFormatting>
  <conditionalFormatting sqref="L25:L26">
    <cfRule type="containsText" dxfId="222" priority="76" operator="containsText" text="No Aplica">
      <formula>NOT(ISERROR(SEARCH("No Aplica",L25)))</formula>
    </cfRule>
    <cfRule type="containsText" dxfId="221" priority="81" operator="containsText" text="Desfavorable">
      <formula>NOT(ISERROR(SEARCH("Desfavorable",L25)))</formula>
    </cfRule>
    <cfRule type="containsText" dxfId="220" priority="82" operator="containsText" text="Favorable">
      <formula>NOT(ISERROR(SEARCH("Favorable",L25)))</formula>
    </cfRule>
    <cfRule type="containsText" dxfId="219" priority="85" operator="containsText" text="Con Observaciones">
      <formula>NOT(ISERROR(SEARCH("Con Observaciones",L25)))</formula>
    </cfRule>
  </conditionalFormatting>
  <conditionalFormatting sqref="L28">
    <cfRule type="containsText" dxfId="218" priority="146" operator="containsText" text="No Favorable">
      <formula>NOT(ISERROR(SEARCH("No Favorable",L28)))</formula>
    </cfRule>
    <cfRule type="containsText" dxfId="217" priority="147" operator="containsText" text="Con Observaciones">
      <formula>NOT(ISERROR(SEARCH("Con Observaciones",L28)))</formula>
    </cfRule>
    <cfRule type="containsText" dxfId="216" priority="148" operator="containsText" text="Favorable">
      <formula>NOT(ISERROR(SEARCH("Favorable",L28)))</formula>
    </cfRule>
  </conditionalFormatting>
  <conditionalFormatting sqref="L30 L32">
    <cfRule type="containsText" dxfId="215" priority="149" operator="containsText" text="Desfavorable">
      <formula>NOT(ISERROR(SEARCH("Desfavorable",L30)))</formula>
    </cfRule>
    <cfRule type="containsText" dxfId="214" priority="150" operator="containsText" text="Con Observaciones">
      <formula>NOT(ISERROR(SEARCH("Con Observaciones",L30)))</formula>
    </cfRule>
    <cfRule type="containsText" dxfId="213" priority="151" operator="containsText" text="Favorable">
      <formula>NOT(ISERROR(SEARCH("Favorable",L30)))</formula>
    </cfRule>
  </conditionalFormatting>
  <conditionalFormatting sqref="L1:L2">
    <cfRule type="cellIs" dxfId="212" priority="1" operator="equal">
      <formula>"INEXISTENTE"</formula>
    </cfRule>
    <cfRule type="cellIs" dxfId="211" priority="2" operator="equal">
      <formula>"INADECUADO"</formula>
    </cfRule>
    <cfRule type="cellIs" dxfId="210" priority="3" operator="equal">
      <formula>"PARCIALMENTE ADECUADO"</formula>
    </cfRule>
    <cfRule type="cellIs" dxfId="209" priority="4" operator="equal">
      <formula>"ADECUADO"</formula>
    </cfRule>
    <cfRule type="cellIs" dxfId="208" priority="5" operator="equal">
      <formula>"ERROR"</formula>
    </cfRule>
  </conditionalFormatting>
  <pageMargins left="0.7" right="0.7" top="0.75" bottom="0.75" header="0.3" footer="0.3"/>
  <ignoredErrors>
    <ignoredError sqref="H13:H18 I24:J26 I14 I28:J28 H28 H20 H22 H24:H26 J23" unlockedFormula="1"/>
  </ignoredErrors>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LISTAS!$R$3:$R$96</xm:f>
          </x14:formula1>
          <xm:sqref>D5:H5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3"/>
  <sheetViews>
    <sheetView topLeftCell="A4" zoomScaleNormal="100" workbookViewId="0">
      <selection activeCell="A18" sqref="A18"/>
    </sheetView>
  </sheetViews>
  <sheetFormatPr baseColWidth="10" defaultColWidth="11.44140625" defaultRowHeight="13.8" x14ac:dyDescent="0.25"/>
  <cols>
    <col min="1" max="1" width="11.44140625" style="11"/>
    <col min="2" max="2" width="33.109375" style="11" customWidth="1"/>
    <col min="3" max="3" width="29.88671875" style="11" customWidth="1"/>
    <col min="4" max="4" width="31.5546875" style="11" customWidth="1"/>
    <col min="5" max="5" width="21.6640625" style="11" customWidth="1"/>
    <col min="6" max="6" width="12.44140625" style="11" customWidth="1"/>
    <col min="7" max="7" width="17.33203125" style="11" customWidth="1"/>
    <col min="8" max="8" width="21.44140625" style="11" customWidth="1"/>
    <col min="9" max="9" width="24.6640625" style="11" bestFit="1" customWidth="1"/>
    <col min="10" max="10" width="24.6640625" style="11" customWidth="1"/>
    <col min="11" max="11" width="21.33203125" style="11" customWidth="1"/>
    <col min="12" max="14" width="27.44140625" style="11" customWidth="1"/>
    <col min="15" max="15" width="35.6640625" style="11" customWidth="1"/>
    <col min="16" max="17" width="16.33203125" style="11" customWidth="1"/>
    <col min="18" max="18" width="23" style="11" customWidth="1"/>
    <col min="19" max="19" width="17" style="11" customWidth="1"/>
    <col min="20" max="16384" width="11.44140625" style="11"/>
  </cols>
  <sheetData>
    <row r="1" spans="1:19" ht="48" customHeight="1" x14ac:dyDescent="0.25">
      <c r="B1" s="1804"/>
      <c r="C1" s="1809" t="s">
        <v>1696</v>
      </c>
      <c r="D1" s="1810"/>
      <c r="E1" s="1810"/>
      <c r="F1" s="1810"/>
      <c r="G1" s="1810"/>
      <c r="H1" s="1810"/>
      <c r="I1" s="1810"/>
      <c r="J1" s="1810"/>
      <c r="K1" s="1810"/>
      <c r="L1" s="1810"/>
      <c r="M1" s="1810"/>
      <c r="N1" s="1810"/>
      <c r="O1" s="1810"/>
      <c r="P1" s="1810"/>
      <c r="Q1" s="1810"/>
      <c r="R1" s="1811"/>
      <c r="S1" s="1134" t="s">
        <v>1694</v>
      </c>
    </row>
    <row r="2" spans="1:19" ht="28.5" customHeight="1" x14ac:dyDescent="0.25">
      <c r="B2" s="1805"/>
      <c r="C2" s="1812"/>
      <c r="D2" s="1813"/>
      <c r="E2" s="1813"/>
      <c r="F2" s="1813"/>
      <c r="G2" s="1813"/>
      <c r="H2" s="1813"/>
      <c r="I2" s="1813"/>
      <c r="J2" s="1813"/>
      <c r="K2" s="1813"/>
      <c r="L2" s="1813"/>
      <c r="M2" s="1813"/>
      <c r="N2" s="1813"/>
      <c r="O2" s="1813"/>
      <c r="P2" s="1813"/>
      <c r="Q2" s="1813"/>
      <c r="R2" s="1814"/>
      <c r="S2" s="1132" t="s">
        <v>1689</v>
      </c>
    </row>
    <row r="4" spans="1:19" ht="17.399999999999999" x14ac:dyDescent="0.3">
      <c r="B4" s="303"/>
      <c r="C4" s="1806"/>
      <c r="D4" s="1806"/>
      <c r="E4" s="304"/>
      <c r="F4" s="9"/>
      <c r="G4" s="9"/>
      <c r="H4" s="51"/>
    </row>
    <row r="5" spans="1:19" ht="17.399999999999999" x14ac:dyDescent="0.25">
      <c r="C5" s="1807" t="s">
        <v>650</v>
      </c>
      <c r="D5" s="1807"/>
      <c r="E5" s="1807"/>
      <c r="F5" s="1807"/>
      <c r="G5" s="1807"/>
      <c r="H5" s="1807"/>
    </row>
    <row r="6" spans="1:19" ht="15.75" customHeight="1" x14ac:dyDescent="0.25">
      <c r="B6" s="11" t="s">
        <v>0</v>
      </c>
      <c r="C6" s="1745" t="str">
        <f>+FENECIMIENTO!D4</f>
        <v xml:space="preserve">80000 - DIRECCIÓN SECTOR MOVILIDAD </v>
      </c>
      <c r="D6" s="1745"/>
    </row>
    <row r="7" spans="1:19" x14ac:dyDescent="0.25">
      <c r="B7" s="11" t="s">
        <v>1</v>
      </c>
      <c r="C7" s="1808" t="str">
        <f>+FENECIMIENTO!D5</f>
        <v>204 - Instituto de Desarrollo Urbano – IDU</v>
      </c>
      <c r="D7" s="1808"/>
      <c r="F7" s="305" t="s">
        <v>2</v>
      </c>
      <c r="G7" s="306"/>
      <c r="H7" s="1299">
        <f>+FENECIMIENTO!K5</f>
        <v>2024</v>
      </c>
      <c r="P7" s="307"/>
      <c r="R7" s="307"/>
      <c r="S7" s="307"/>
    </row>
    <row r="8" spans="1:19" x14ac:dyDescent="0.25">
      <c r="B8" s="11" t="s">
        <v>1680</v>
      </c>
      <c r="C8" s="1588">
        <f>+FENECIMIENTO!D6</f>
        <v>2025</v>
      </c>
      <c r="D8" s="1300"/>
      <c r="F8" s="305" t="s">
        <v>3</v>
      </c>
      <c r="G8" s="306"/>
      <c r="H8" s="1299">
        <f>+FENECIMIENTO!K6</f>
        <v>87</v>
      </c>
    </row>
    <row r="9" spans="1:19" x14ac:dyDescent="0.25">
      <c r="B9" s="11" t="s">
        <v>4</v>
      </c>
      <c r="C9" s="1301">
        <f>+FENECIMIENTO!D7</f>
        <v>45693</v>
      </c>
      <c r="D9" s="1299"/>
      <c r="F9" s="305" t="s">
        <v>5</v>
      </c>
      <c r="G9" s="306"/>
      <c r="H9" s="1302">
        <f>+FENECIMIENTO!K7</f>
        <v>45693</v>
      </c>
    </row>
    <row r="10" spans="1:19" ht="15.6" x14ac:dyDescent="0.3">
      <c r="B10" s="49"/>
      <c r="E10" s="49"/>
      <c r="F10" s="49"/>
      <c r="G10" s="49"/>
      <c r="I10" s="11" t="s">
        <v>651</v>
      </c>
      <c r="J10" s="1815" t="s">
        <v>652</v>
      </c>
      <c r="K10" s="1815"/>
      <c r="L10" s="1815"/>
      <c r="M10" s="1815"/>
      <c r="N10" s="1815"/>
      <c r="O10" s="1815"/>
      <c r="P10" s="1815"/>
      <c r="Q10" s="1815"/>
      <c r="R10" s="309"/>
    </row>
    <row r="11" spans="1:19" s="51" customFormat="1" ht="96.6" x14ac:dyDescent="0.25">
      <c r="A11" s="1306" t="s">
        <v>653</v>
      </c>
      <c r="B11" s="1306" t="s">
        <v>654</v>
      </c>
      <c r="C11" s="1306" t="s">
        <v>655</v>
      </c>
      <c r="D11" s="1306" t="s">
        <v>656</v>
      </c>
      <c r="E11" s="1306" t="s">
        <v>657</v>
      </c>
      <c r="F11" s="1306" t="s">
        <v>658</v>
      </c>
      <c r="G11" s="1306" t="s">
        <v>659</v>
      </c>
      <c r="H11" s="1306" t="s">
        <v>660</v>
      </c>
      <c r="I11" s="1306" t="s">
        <v>661</v>
      </c>
      <c r="J11" s="1306" t="s">
        <v>662</v>
      </c>
      <c r="K11" s="1306" t="s">
        <v>663</v>
      </c>
      <c r="L11" s="1306" t="s">
        <v>664</v>
      </c>
      <c r="M11" s="1306" t="s">
        <v>665</v>
      </c>
      <c r="N11" s="1306" t="s">
        <v>666</v>
      </c>
      <c r="O11" s="1306" t="s">
        <v>667</v>
      </c>
      <c r="P11" s="1306" t="s">
        <v>668</v>
      </c>
      <c r="Q11" s="1306" t="s">
        <v>666</v>
      </c>
      <c r="R11" s="1306" t="s">
        <v>669</v>
      </c>
      <c r="S11" s="1306" t="s">
        <v>670</v>
      </c>
    </row>
    <row r="12" spans="1:19" s="51" customFormat="1" ht="21" customHeight="1" x14ac:dyDescent="0.25">
      <c r="A12" s="1605">
        <v>1105</v>
      </c>
      <c r="B12" s="1606" t="s">
        <v>1773</v>
      </c>
      <c r="C12" s="1607">
        <v>10000000</v>
      </c>
      <c r="D12" s="1607">
        <v>40000000</v>
      </c>
      <c r="E12" s="1608">
        <f>+C12-D12</f>
        <v>-30000000</v>
      </c>
      <c r="F12" s="1609">
        <f>+(C12-D12)/D12</f>
        <v>-0.75</v>
      </c>
      <c r="G12" s="1609" t="s">
        <v>1774</v>
      </c>
      <c r="H12" s="1610" t="e">
        <f>+C12/$C$51</f>
        <v>#DIV/0!</v>
      </c>
      <c r="I12" s="1326"/>
      <c r="J12" s="1611">
        <f>+F12</f>
        <v>-0.75</v>
      </c>
      <c r="K12" s="1322"/>
      <c r="L12" s="1320" t="s">
        <v>1351</v>
      </c>
      <c r="M12" s="1319"/>
      <c r="N12" s="1320" t="s">
        <v>1351</v>
      </c>
      <c r="O12" s="1322" t="s">
        <v>1775</v>
      </c>
      <c r="P12" s="1322" t="s">
        <v>1351</v>
      </c>
      <c r="Q12" s="1322" t="s">
        <v>1351</v>
      </c>
      <c r="R12" s="1612" t="s">
        <v>1351</v>
      </c>
      <c r="S12" s="1798" t="s">
        <v>1776</v>
      </c>
    </row>
    <row r="13" spans="1:19" s="51" customFormat="1" ht="21" customHeight="1" x14ac:dyDescent="0.25">
      <c r="A13" s="1605">
        <v>1110</v>
      </c>
      <c r="B13" s="1606" t="s">
        <v>927</v>
      </c>
      <c r="C13" s="1607">
        <v>170192789315</v>
      </c>
      <c r="D13" s="1607">
        <v>386587616144</v>
      </c>
      <c r="E13" s="1608">
        <f t="shared" ref="E13:E76" si="0">+C13-D13</f>
        <v>-216394826829</v>
      </c>
      <c r="F13" s="1609">
        <f t="shared" ref="F13:F76" si="1">+(C13-D13)/D13</f>
        <v>-0.55975623065068669</v>
      </c>
      <c r="G13" s="1609" t="s">
        <v>1777</v>
      </c>
      <c r="H13" s="1610" t="e">
        <f t="shared" ref="H13:H76" si="2">+C13/$C$51</f>
        <v>#DIV/0!</v>
      </c>
      <c r="I13" s="1326"/>
      <c r="J13" s="1611">
        <f>+F13</f>
        <v>-0.55975623065068669</v>
      </c>
      <c r="K13" s="1322"/>
      <c r="L13" s="1320" t="s">
        <v>1351</v>
      </c>
      <c r="M13" s="1319"/>
      <c r="N13" s="1320" t="s">
        <v>1351</v>
      </c>
      <c r="O13" s="1322" t="s">
        <v>166</v>
      </c>
      <c r="P13" s="1322" t="s">
        <v>1351</v>
      </c>
      <c r="Q13" s="1322" t="s">
        <v>1351</v>
      </c>
      <c r="R13" s="1612" t="s">
        <v>1351</v>
      </c>
      <c r="S13" s="1799"/>
    </row>
    <row r="14" spans="1:19" s="51" customFormat="1" x14ac:dyDescent="0.25">
      <c r="A14" s="1605"/>
      <c r="B14" s="1606"/>
      <c r="C14" s="1607"/>
      <c r="D14" s="1607"/>
      <c r="E14" s="1608"/>
      <c r="F14" s="1609"/>
      <c r="G14" s="1609"/>
      <c r="H14" s="1610"/>
      <c r="I14" s="1326"/>
      <c r="J14" s="1322"/>
      <c r="K14" s="1322"/>
      <c r="L14" s="1319"/>
      <c r="M14" s="1319"/>
      <c r="N14" s="1320"/>
      <c r="O14" s="1322"/>
      <c r="P14" s="1322"/>
      <c r="Q14" s="1322"/>
      <c r="R14" s="1612"/>
      <c r="S14" s="1315"/>
    </row>
    <row r="15" spans="1:19" s="51" customFormat="1" x14ac:dyDescent="0.25">
      <c r="A15" s="1605"/>
      <c r="B15" s="1606"/>
      <c r="C15" s="1607"/>
      <c r="D15" s="1607"/>
      <c r="E15" s="1608"/>
      <c r="F15" s="1609"/>
      <c r="G15" s="1609"/>
      <c r="H15" s="1610"/>
      <c r="I15" s="1326"/>
      <c r="J15" s="1611"/>
      <c r="K15" s="1322"/>
      <c r="L15" s="1319"/>
      <c r="M15" s="1319"/>
      <c r="N15" s="1320"/>
      <c r="O15" s="1322"/>
      <c r="P15" s="1322"/>
      <c r="Q15" s="1322"/>
      <c r="R15" s="1612"/>
      <c r="S15" s="1315"/>
    </row>
    <row r="16" spans="1:19" s="51" customFormat="1" x14ac:dyDescent="0.25">
      <c r="A16" s="1605"/>
      <c r="B16" s="1606"/>
      <c r="C16" s="1607"/>
      <c r="D16" s="1607"/>
      <c r="E16" s="1608"/>
      <c r="F16" s="1609"/>
      <c r="G16" s="1609"/>
      <c r="H16" s="1610"/>
      <c r="I16" s="1326"/>
      <c r="J16" s="1322"/>
      <c r="K16" s="1322"/>
      <c r="L16" s="1319"/>
      <c r="M16" s="1319"/>
      <c r="N16" s="1320"/>
      <c r="O16" s="1322"/>
      <c r="P16" s="1322"/>
      <c r="Q16" s="1322"/>
      <c r="R16" s="1612"/>
      <c r="S16" s="1315"/>
    </row>
    <row r="17" spans="1:19" s="51" customFormat="1" x14ac:dyDescent="0.25">
      <c r="A17" s="1605"/>
      <c r="B17" s="1606"/>
      <c r="C17" s="1607"/>
      <c r="D17" s="1607"/>
      <c r="E17" s="1608"/>
      <c r="F17" s="1609"/>
      <c r="G17" s="1609"/>
      <c r="H17" s="1610"/>
      <c r="I17" s="1326"/>
      <c r="J17" s="1322"/>
      <c r="K17" s="1322"/>
      <c r="L17" s="1319"/>
      <c r="M17" s="1319"/>
      <c r="N17" s="1320"/>
      <c r="O17" s="1322"/>
      <c r="P17" s="1326"/>
      <c r="Q17" s="1322"/>
      <c r="R17" s="1612"/>
      <c r="S17" s="1315"/>
    </row>
    <row r="18" spans="1:19" s="51" customFormat="1" x14ac:dyDescent="0.25">
      <c r="A18" s="1605"/>
      <c r="B18" s="1606"/>
      <c r="C18" s="1607"/>
      <c r="D18" s="1607"/>
      <c r="E18" s="1608"/>
      <c r="F18" s="1609"/>
      <c r="G18" s="1609"/>
      <c r="H18" s="1610"/>
      <c r="I18" s="1326"/>
      <c r="J18" s="1322"/>
      <c r="K18" s="1322"/>
      <c r="L18" s="1319"/>
      <c r="M18" s="1319"/>
      <c r="N18" s="1320"/>
      <c r="O18" s="1322"/>
      <c r="P18" s="1326"/>
      <c r="Q18" s="1322"/>
      <c r="R18" s="1612"/>
      <c r="S18" s="1315"/>
    </row>
    <row r="19" spans="1:19" s="51" customFormat="1" x14ac:dyDescent="0.25">
      <c r="A19" s="1605"/>
      <c r="B19" s="1606"/>
      <c r="C19" s="1607"/>
      <c r="D19" s="1607"/>
      <c r="E19" s="1608"/>
      <c r="F19" s="1609"/>
      <c r="G19" s="1609"/>
      <c r="H19" s="1610"/>
      <c r="I19" s="1326"/>
      <c r="J19" s="1322"/>
      <c r="K19" s="1322"/>
      <c r="L19" s="1319"/>
      <c r="M19" s="1319"/>
      <c r="N19" s="1320"/>
      <c r="O19" s="1322"/>
      <c r="P19" s="1326"/>
      <c r="Q19" s="1322"/>
      <c r="R19" s="1612"/>
      <c r="S19" s="1315"/>
    </row>
    <row r="20" spans="1:19" s="51" customFormat="1" x14ac:dyDescent="0.25">
      <c r="A20" s="1605"/>
      <c r="B20" s="1606"/>
      <c r="C20" s="1607"/>
      <c r="D20" s="1607"/>
      <c r="E20" s="1608"/>
      <c r="F20" s="1609"/>
      <c r="G20" s="1609"/>
      <c r="H20" s="1610"/>
      <c r="I20" s="1326"/>
      <c r="J20" s="1611"/>
      <c r="K20" s="1322"/>
      <c r="L20" s="1319"/>
      <c r="M20" s="1319"/>
      <c r="N20" s="1320"/>
      <c r="O20" s="1322"/>
      <c r="P20" s="1326"/>
      <c r="Q20" s="1322"/>
      <c r="R20" s="1612"/>
      <c r="S20" s="1315"/>
    </row>
    <row r="21" spans="1:19" s="51" customFormat="1" x14ac:dyDescent="0.25">
      <c r="A21" s="1605"/>
      <c r="B21" s="1606"/>
      <c r="C21" s="1607"/>
      <c r="D21" s="1607"/>
      <c r="E21" s="1608"/>
      <c r="F21" s="1609"/>
      <c r="G21" s="1609"/>
      <c r="H21" s="1610"/>
      <c r="I21" s="1326"/>
      <c r="J21" s="1322"/>
      <c r="K21" s="1322"/>
      <c r="L21" s="1319"/>
      <c r="M21" s="1319"/>
      <c r="N21" s="1320"/>
      <c r="O21" s="1322"/>
      <c r="P21" s="1326"/>
      <c r="Q21" s="1322"/>
      <c r="R21" s="1612"/>
      <c r="S21" s="1315"/>
    </row>
    <row r="22" spans="1:19" s="51" customFormat="1" x14ac:dyDescent="0.25">
      <c r="A22" s="1605"/>
      <c r="B22" s="1606"/>
      <c r="C22" s="1607"/>
      <c r="D22" s="1607"/>
      <c r="E22" s="1608"/>
      <c r="F22" s="1609"/>
      <c r="G22" s="1609"/>
      <c r="H22" s="1610"/>
      <c r="I22" s="1326"/>
      <c r="J22" s="1322"/>
      <c r="K22" s="1322"/>
      <c r="L22" s="1319"/>
      <c r="M22" s="1319"/>
      <c r="N22" s="1320"/>
      <c r="O22" s="1322"/>
      <c r="P22" s="1326"/>
      <c r="Q22" s="1322"/>
      <c r="R22" s="1612"/>
      <c r="S22" s="1315"/>
    </row>
    <row r="23" spans="1:19" s="51" customFormat="1" x14ac:dyDescent="0.25">
      <c r="A23" s="1605"/>
      <c r="B23" s="1606"/>
      <c r="C23" s="1607"/>
      <c r="D23" s="1607"/>
      <c r="E23" s="1608"/>
      <c r="F23" s="1609"/>
      <c r="G23" s="1609"/>
      <c r="H23" s="1610"/>
      <c r="I23" s="1326"/>
      <c r="J23" s="1322"/>
      <c r="K23" s="1322"/>
      <c r="L23" s="1319"/>
      <c r="M23" s="1319"/>
      <c r="N23" s="1320"/>
      <c r="O23" s="1322"/>
      <c r="P23" s="1326"/>
      <c r="Q23" s="1322"/>
      <c r="R23" s="1612"/>
      <c r="S23" s="1315"/>
    </row>
    <row r="24" spans="1:19" s="51" customFormat="1" x14ac:dyDescent="0.25">
      <c r="A24" s="1605"/>
      <c r="B24" s="1606"/>
      <c r="C24" s="1607"/>
      <c r="D24" s="1607"/>
      <c r="E24" s="1608"/>
      <c r="F24" s="1609"/>
      <c r="G24" s="1609"/>
      <c r="H24" s="1610"/>
      <c r="I24" s="1326"/>
      <c r="J24" s="1322"/>
      <c r="K24" s="1322"/>
      <c r="L24" s="1319"/>
      <c r="M24" s="1319"/>
      <c r="N24" s="1320"/>
      <c r="O24" s="1322"/>
      <c r="P24" s="1326"/>
      <c r="Q24" s="1322"/>
      <c r="R24" s="1612"/>
      <c r="S24" s="1315"/>
    </row>
    <row r="25" spans="1:19" s="51" customFormat="1" x14ac:dyDescent="0.25">
      <c r="A25" s="1605"/>
      <c r="B25" s="1606"/>
      <c r="C25" s="1607"/>
      <c r="D25" s="1607"/>
      <c r="E25" s="1608"/>
      <c r="F25" s="1609"/>
      <c r="G25" s="1609"/>
      <c r="H25" s="1610"/>
      <c r="I25" s="1326"/>
      <c r="J25" s="1322"/>
      <c r="K25" s="1322"/>
      <c r="L25" s="1319"/>
      <c r="M25" s="1319"/>
      <c r="N25" s="1320"/>
      <c r="O25" s="1322"/>
      <c r="P25" s="1326"/>
      <c r="Q25" s="1322"/>
      <c r="R25" s="1612"/>
      <c r="S25" s="1315"/>
    </row>
    <row r="26" spans="1:19" s="51" customFormat="1" x14ac:dyDescent="0.25">
      <c r="A26" s="1605"/>
      <c r="B26" s="1606"/>
      <c r="C26" s="1607"/>
      <c r="D26" s="1607"/>
      <c r="E26" s="1608"/>
      <c r="F26" s="1609"/>
      <c r="G26" s="1609"/>
      <c r="H26" s="1610"/>
      <c r="I26" s="1326"/>
      <c r="J26" s="1611"/>
      <c r="K26" s="1322"/>
      <c r="L26" s="1319"/>
      <c r="M26" s="1319"/>
      <c r="N26" s="1320"/>
      <c r="O26" s="1322"/>
      <c r="P26" s="1326"/>
      <c r="Q26" s="1322"/>
      <c r="R26" s="1612"/>
      <c r="S26" s="1315"/>
    </row>
    <row r="27" spans="1:19" s="51" customFormat="1" x14ac:dyDescent="0.25">
      <c r="A27" s="1605"/>
      <c r="B27" s="1326"/>
      <c r="C27" s="1607"/>
      <c r="D27" s="1607"/>
      <c r="E27" s="1608"/>
      <c r="F27" s="1609"/>
      <c r="G27" s="1609"/>
      <c r="H27" s="1610"/>
      <c r="I27" s="1326"/>
      <c r="J27" s="1322"/>
      <c r="K27" s="1322"/>
      <c r="L27" s="1319"/>
      <c r="M27" s="1319"/>
      <c r="N27" s="1320"/>
      <c r="O27" s="1322"/>
      <c r="P27" s="1326"/>
      <c r="Q27" s="1322"/>
      <c r="R27" s="1612"/>
      <c r="S27" s="1315"/>
    </row>
    <row r="28" spans="1:19" s="51" customFormat="1" x14ac:dyDescent="0.25">
      <c r="A28" s="1605"/>
      <c r="B28" s="1326"/>
      <c r="C28" s="1607"/>
      <c r="D28" s="1607"/>
      <c r="E28" s="1608"/>
      <c r="F28" s="1609"/>
      <c r="G28" s="1609"/>
      <c r="H28" s="1610"/>
      <c r="I28" s="1326"/>
      <c r="J28" s="1322"/>
      <c r="K28" s="1322"/>
      <c r="L28" s="1319"/>
      <c r="M28" s="1319"/>
      <c r="N28" s="1320"/>
      <c r="O28" s="1322"/>
      <c r="P28" s="1326"/>
      <c r="Q28" s="1322"/>
      <c r="R28" s="1612"/>
      <c r="S28" s="1315"/>
    </row>
    <row r="29" spans="1:19" s="51" customFormat="1" x14ac:dyDescent="0.25">
      <c r="A29" s="1605"/>
      <c r="B29" s="1326"/>
      <c r="C29" s="1607"/>
      <c r="D29" s="1607"/>
      <c r="E29" s="1608"/>
      <c r="F29" s="1609"/>
      <c r="G29" s="1609"/>
      <c r="H29" s="1610"/>
      <c r="I29" s="1326"/>
      <c r="J29" s="1322"/>
      <c r="K29" s="1322"/>
      <c r="L29" s="1319"/>
      <c r="M29" s="1319"/>
      <c r="N29" s="1320"/>
      <c r="O29" s="1322"/>
      <c r="P29" s="1326"/>
      <c r="Q29" s="1322"/>
      <c r="R29" s="1612"/>
      <c r="S29" s="1315"/>
    </row>
    <row r="30" spans="1:19" s="51" customFormat="1" x14ac:dyDescent="0.25">
      <c r="A30" s="1605"/>
      <c r="B30" s="1326"/>
      <c r="C30" s="1607"/>
      <c r="D30" s="1607"/>
      <c r="E30" s="1608"/>
      <c r="F30" s="1609"/>
      <c r="G30" s="1609"/>
      <c r="H30" s="1610"/>
      <c r="I30" s="1326"/>
      <c r="J30" s="1322"/>
      <c r="K30" s="1322"/>
      <c r="L30" s="1319"/>
      <c r="M30" s="1319"/>
      <c r="N30" s="1320"/>
      <c r="O30" s="1322"/>
      <c r="P30" s="1326"/>
      <c r="Q30" s="1322"/>
      <c r="R30" s="1612"/>
      <c r="S30" s="1315"/>
    </row>
    <row r="31" spans="1:19" s="51" customFormat="1" x14ac:dyDescent="0.25">
      <c r="A31" s="1605"/>
      <c r="B31" s="1326"/>
      <c r="C31" s="1607"/>
      <c r="D31" s="1607"/>
      <c r="E31" s="1608"/>
      <c r="F31" s="1609"/>
      <c r="G31" s="1609"/>
      <c r="H31" s="1610"/>
      <c r="I31" s="1326"/>
      <c r="J31" s="1322"/>
      <c r="K31" s="1322"/>
      <c r="L31" s="1319"/>
      <c r="M31" s="1319"/>
      <c r="N31" s="1320"/>
      <c r="O31" s="1322"/>
      <c r="P31" s="1326"/>
      <c r="Q31" s="1322"/>
      <c r="R31" s="1612"/>
      <c r="S31" s="1315"/>
    </row>
    <row r="32" spans="1:19" s="51" customFormat="1" x14ac:dyDescent="0.25">
      <c r="A32" s="1605"/>
      <c r="B32" s="1326"/>
      <c r="C32" s="1607"/>
      <c r="D32" s="1607"/>
      <c r="E32" s="1608"/>
      <c r="F32" s="1609"/>
      <c r="G32" s="1609"/>
      <c r="H32" s="1610"/>
      <c r="I32" s="1326"/>
      <c r="J32" s="1322"/>
      <c r="K32" s="1322"/>
      <c r="L32" s="1319"/>
      <c r="M32" s="1319"/>
      <c r="N32" s="1320"/>
      <c r="O32" s="1322"/>
      <c r="P32" s="1326"/>
      <c r="Q32" s="1322"/>
      <c r="R32" s="1612"/>
      <c r="S32" s="1315"/>
    </row>
    <row r="33" spans="1:19" s="51" customFormat="1" x14ac:dyDescent="0.25">
      <c r="A33" s="1605"/>
      <c r="B33" s="1326"/>
      <c r="C33" s="1607"/>
      <c r="D33" s="1607"/>
      <c r="E33" s="1608"/>
      <c r="F33" s="1609"/>
      <c r="G33" s="1609"/>
      <c r="H33" s="1610"/>
      <c r="I33" s="1326"/>
      <c r="J33" s="1322"/>
      <c r="K33" s="1322"/>
      <c r="L33" s="1319"/>
      <c r="M33" s="1319"/>
      <c r="N33" s="1320"/>
      <c r="O33" s="1322"/>
      <c r="P33" s="1326"/>
      <c r="Q33" s="1322"/>
      <c r="R33" s="1612"/>
      <c r="S33" s="1315"/>
    </row>
    <row r="34" spans="1:19" s="51" customFormat="1" x14ac:dyDescent="0.25">
      <c r="A34" s="1605"/>
      <c r="B34" s="1326"/>
      <c r="C34" s="1607"/>
      <c r="D34" s="1607"/>
      <c r="E34" s="1608"/>
      <c r="F34" s="1609"/>
      <c r="G34" s="1609"/>
      <c r="H34" s="1610"/>
      <c r="I34" s="1326"/>
      <c r="J34" s="1322"/>
      <c r="K34" s="1322"/>
      <c r="L34" s="1319"/>
      <c r="M34" s="1319"/>
      <c r="N34" s="1320"/>
      <c r="O34" s="1322"/>
      <c r="P34" s="1326"/>
      <c r="Q34" s="1322"/>
      <c r="R34" s="1612"/>
      <c r="S34" s="1315"/>
    </row>
    <row r="35" spans="1:19" s="51" customFormat="1" x14ac:dyDescent="0.25">
      <c r="A35" s="1605"/>
      <c r="B35" s="1326"/>
      <c r="C35" s="1607"/>
      <c r="D35" s="1607"/>
      <c r="E35" s="1608"/>
      <c r="F35" s="1609"/>
      <c r="G35" s="1609"/>
      <c r="H35" s="1610"/>
      <c r="I35" s="1326"/>
      <c r="J35" s="1322"/>
      <c r="K35" s="1322"/>
      <c r="L35" s="1319"/>
      <c r="M35" s="1319"/>
      <c r="N35" s="1320"/>
      <c r="O35" s="1322"/>
      <c r="P35" s="1326"/>
      <c r="Q35" s="1322"/>
      <c r="R35" s="1612"/>
      <c r="S35" s="1315"/>
    </row>
    <row r="36" spans="1:19" s="51" customFormat="1" x14ac:dyDescent="0.25">
      <c r="A36" s="1605"/>
      <c r="B36" s="1326"/>
      <c r="C36" s="1607"/>
      <c r="D36" s="1607"/>
      <c r="E36" s="1608"/>
      <c r="F36" s="1609"/>
      <c r="G36" s="1609"/>
      <c r="H36" s="1610"/>
      <c r="I36" s="1326"/>
      <c r="J36" s="1322"/>
      <c r="K36" s="1322"/>
      <c r="L36" s="1319"/>
      <c r="M36" s="1319"/>
      <c r="N36" s="1320"/>
      <c r="O36" s="1322"/>
      <c r="P36" s="1326"/>
      <c r="Q36" s="1322"/>
      <c r="R36" s="1612"/>
      <c r="S36" s="1315"/>
    </row>
    <row r="37" spans="1:19" s="51" customFormat="1" x14ac:dyDescent="0.25">
      <c r="A37" s="1605"/>
      <c r="B37" s="1326"/>
      <c r="C37" s="1607"/>
      <c r="D37" s="1607"/>
      <c r="E37" s="1608"/>
      <c r="F37" s="1609"/>
      <c r="G37" s="1609"/>
      <c r="H37" s="1610"/>
      <c r="I37" s="1326"/>
      <c r="J37" s="1322"/>
      <c r="K37" s="1322"/>
      <c r="L37" s="1319"/>
      <c r="M37" s="1319"/>
      <c r="N37" s="1320"/>
      <c r="O37" s="1322"/>
      <c r="P37" s="1326"/>
      <c r="Q37" s="1322"/>
      <c r="R37" s="1612"/>
      <c r="S37" s="1315"/>
    </row>
    <row r="38" spans="1:19" s="51" customFormat="1" x14ac:dyDescent="0.25">
      <c r="A38" s="1605"/>
      <c r="B38" s="1326"/>
      <c r="C38" s="1607"/>
      <c r="D38" s="1607"/>
      <c r="E38" s="1608"/>
      <c r="F38" s="1609"/>
      <c r="G38" s="1609"/>
      <c r="H38" s="1610"/>
      <c r="I38" s="1326"/>
      <c r="J38" s="1322"/>
      <c r="K38" s="1613"/>
      <c r="L38" s="1319"/>
      <c r="M38" s="1319"/>
      <c r="N38" s="1320"/>
      <c r="O38" s="1322"/>
      <c r="P38" s="1326"/>
      <c r="Q38" s="1322"/>
      <c r="R38" s="1612"/>
      <c r="S38" s="1798"/>
    </row>
    <row r="39" spans="1:19" s="51" customFormat="1" x14ac:dyDescent="0.25">
      <c r="A39" s="1605"/>
      <c r="B39" s="1326"/>
      <c r="C39" s="1607"/>
      <c r="D39" s="1607"/>
      <c r="E39" s="1608"/>
      <c r="F39" s="1609"/>
      <c r="G39" s="1609"/>
      <c r="H39" s="1610"/>
      <c r="I39" s="1326"/>
      <c r="J39" s="1322"/>
      <c r="K39" s="1613"/>
      <c r="L39" s="1319"/>
      <c r="M39" s="1319"/>
      <c r="N39" s="1320"/>
      <c r="O39" s="1322"/>
      <c r="P39" s="1326"/>
      <c r="Q39" s="1322"/>
      <c r="R39" s="1612"/>
      <c r="S39" s="1799"/>
    </row>
    <row r="40" spans="1:19" s="51" customFormat="1" x14ac:dyDescent="0.25">
      <c r="A40" s="1605"/>
      <c r="B40" s="1326"/>
      <c r="C40" s="1607"/>
      <c r="D40" s="1607"/>
      <c r="E40" s="1608"/>
      <c r="F40" s="1609"/>
      <c r="G40" s="1609"/>
      <c r="H40" s="1610"/>
      <c r="I40" s="1326"/>
      <c r="J40" s="1322"/>
      <c r="K40" s="1613"/>
      <c r="L40" s="1319"/>
      <c r="M40" s="1319"/>
      <c r="N40" s="1320"/>
      <c r="O40" s="1322"/>
      <c r="P40" s="1326"/>
      <c r="Q40" s="1322"/>
      <c r="R40" s="1612"/>
      <c r="S40" s="1315"/>
    </row>
    <row r="41" spans="1:19" s="51" customFormat="1" x14ac:dyDescent="0.25">
      <c r="A41" s="1605"/>
      <c r="B41" s="1326"/>
      <c r="C41" s="1607"/>
      <c r="D41" s="1607"/>
      <c r="E41" s="1608"/>
      <c r="F41" s="1609"/>
      <c r="G41" s="1609"/>
      <c r="H41" s="1610"/>
      <c r="I41" s="1326"/>
      <c r="J41" s="1322"/>
      <c r="K41" s="1322"/>
      <c r="L41" s="1319"/>
      <c r="M41" s="1319"/>
      <c r="N41" s="1320"/>
      <c r="O41" s="1322"/>
      <c r="P41" s="1326"/>
      <c r="Q41" s="1322"/>
      <c r="R41" s="1612"/>
      <c r="S41" s="1315"/>
    </row>
    <row r="42" spans="1:19" s="51" customFormat="1" x14ac:dyDescent="0.25">
      <c r="A42" s="1605"/>
      <c r="B42" s="1326"/>
      <c r="C42" s="1607"/>
      <c r="D42" s="1607"/>
      <c r="E42" s="1608"/>
      <c r="F42" s="1609"/>
      <c r="G42" s="1609"/>
      <c r="H42" s="1610"/>
      <c r="I42" s="1326"/>
      <c r="J42" s="1610"/>
      <c r="K42" s="1322"/>
      <c r="L42" s="1319"/>
      <c r="M42" s="1319"/>
      <c r="N42" s="1320"/>
      <c r="O42" s="1322"/>
      <c r="P42" s="1326"/>
      <c r="Q42" s="1322"/>
      <c r="R42" s="1612"/>
      <c r="S42" s="1315"/>
    </row>
    <row r="43" spans="1:19" s="51" customFormat="1" x14ac:dyDescent="0.25">
      <c r="A43" s="1605"/>
      <c r="B43" s="1326"/>
      <c r="C43" s="1607"/>
      <c r="D43" s="1607"/>
      <c r="E43" s="1608"/>
      <c r="F43" s="1609"/>
      <c r="G43" s="1609"/>
      <c r="H43" s="1610"/>
      <c r="I43" s="1326"/>
      <c r="J43" s="1322"/>
      <c r="K43" s="1322"/>
      <c r="L43" s="1319"/>
      <c r="M43" s="1319"/>
      <c r="N43" s="1320"/>
      <c r="O43" s="1322"/>
      <c r="P43" s="1326"/>
      <c r="Q43" s="1322"/>
      <c r="R43" s="1612"/>
      <c r="S43" s="1315"/>
    </row>
    <row r="44" spans="1:19" s="51" customFormat="1" x14ac:dyDescent="0.25">
      <c r="A44" s="1605"/>
      <c r="B44" s="1326"/>
      <c r="C44" s="1607"/>
      <c r="D44" s="1607"/>
      <c r="E44" s="1608"/>
      <c r="F44" s="1609"/>
      <c r="G44" s="1609"/>
      <c r="H44" s="1610"/>
      <c r="I44" s="1326"/>
      <c r="J44" s="1322"/>
      <c r="K44" s="1322"/>
      <c r="L44" s="1319"/>
      <c r="M44" s="1319"/>
      <c r="N44" s="1320"/>
      <c r="O44" s="1322"/>
      <c r="P44" s="1326"/>
      <c r="Q44" s="1322"/>
      <c r="R44" s="1612"/>
      <c r="S44" s="1315"/>
    </row>
    <row r="45" spans="1:19" s="51" customFormat="1" x14ac:dyDescent="0.25">
      <c r="A45" s="1605"/>
      <c r="B45" s="1326"/>
      <c r="C45" s="1607"/>
      <c r="D45" s="1607"/>
      <c r="E45" s="1608"/>
      <c r="F45" s="1609"/>
      <c r="G45" s="1609"/>
      <c r="H45" s="1610"/>
      <c r="I45" s="1326"/>
      <c r="J45" s="1611"/>
      <c r="K45" s="1322"/>
      <c r="L45" s="1319"/>
      <c r="M45" s="1319"/>
      <c r="N45" s="1320"/>
      <c r="O45" s="1322"/>
      <c r="P45" s="1326"/>
      <c r="Q45" s="1322"/>
      <c r="R45" s="1612"/>
      <c r="S45" s="1315"/>
    </row>
    <row r="46" spans="1:19" s="51" customFormat="1" x14ac:dyDescent="0.25">
      <c r="A46" s="1605"/>
      <c r="B46" s="1326"/>
      <c r="C46" s="1607"/>
      <c r="D46" s="1607"/>
      <c r="E46" s="1608"/>
      <c r="F46" s="1609"/>
      <c r="G46" s="1609"/>
      <c r="H46" s="1610"/>
      <c r="I46" s="1326"/>
      <c r="J46" s="1322"/>
      <c r="K46" s="1322"/>
      <c r="L46" s="1319"/>
      <c r="M46" s="1319"/>
      <c r="N46" s="1320"/>
      <c r="O46" s="1322"/>
      <c r="P46" s="1326"/>
      <c r="Q46" s="1322"/>
      <c r="R46" s="1612"/>
      <c r="S46" s="1315"/>
    </row>
    <row r="47" spans="1:19" s="51" customFormat="1" x14ac:dyDescent="0.25">
      <c r="A47" s="1605"/>
      <c r="B47" s="1326"/>
      <c r="C47" s="1607"/>
      <c r="D47" s="1607"/>
      <c r="E47" s="1608"/>
      <c r="F47" s="1609"/>
      <c r="G47" s="1609"/>
      <c r="H47" s="1610"/>
      <c r="I47" s="1326"/>
      <c r="J47" s="1322"/>
      <c r="K47" s="1322"/>
      <c r="L47" s="1319"/>
      <c r="M47" s="1319"/>
      <c r="N47" s="1320"/>
      <c r="O47" s="1322"/>
      <c r="P47" s="1326"/>
      <c r="Q47" s="1322"/>
      <c r="R47" s="1612"/>
      <c r="S47" s="1315"/>
    </row>
    <row r="48" spans="1:19" s="51" customFormat="1" x14ac:dyDescent="0.25">
      <c r="A48" s="1605"/>
      <c r="B48" s="1326"/>
      <c r="C48" s="1607"/>
      <c r="D48" s="1607"/>
      <c r="E48" s="1608"/>
      <c r="F48" s="1609"/>
      <c r="G48" s="1609"/>
      <c r="H48" s="1610"/>
      <c r="I48" s="1326"/>
      <c r="J48" s="1322"/>
      <c r="K48" s="1322"/>
      <c r="L48" s="1319"/>
      <c r="M48" s="1319"/>
      <c r="N48" s="1320"/>
      <c r="O48" s="1322"/>
      <c r="P48" s="1326"/>
      <c r="Q48" s="1322"/>
      <c r="R48" s="1612"/>
      <c r="S48" s="1315"/>
    </row>
    <row r="49" spans="1:19" s="51" customFormat="1" x14ac:dyDescent="0.25">
      <c r="A49" s="1605"/>
      <c r="B49" s="1326"/>
      <c r="C49" s="1607"/>
      <c r="D49" s="1607"/>
      <c r="E49" s="1608"/>
      <c r="F49" s="1609"/>
      <c r="G49" s="1609"/>
      <c r="H49" s="1610"/>
      <c r="I49" s="1326"/>
      <c r="J49" s="1322"/>
      <c r="K49" s="1322"/>
      <c r="L49" s="1319"/>
      <c r="M49" s="1319"/>
      <c r="N49" s="1320"/>
      <c r="O49" s="1322"/>
      <c r="P49" s="1326"/>
      <c r="Q49" s="1322"/>
      <c r="R49" s="1612"/>
      <c r="S49" s="1315"/>
    </row>
    <row r="50" spans="1:19" s="51" customFormat="1" x14ac:dyDescent="0.25">
      <c r="A50" s="1605"/>
      <c r="B50" s="1326"/>
      <c r="C50" s="1607"/>
      <c r="D50" s="1607"/>
      <c r="E50" s="1608"/>
      <c r="F50" s="1609"/>
      <c r="G50" s="1609"/>
      <c r="H50" s="1610"/>
      <c r="I50" s="1326"/>
      <c r="J50" s="1322"/>
      <c r="K50" s="1322"/>
      <c r="L50" s="1319"/>
      <c r="M50" s="1319"/>
      <c r="N50" s="1320"/>
      <c r="O50" s="1322"/>
      <c r="P50" s="1326"/>
      <c r="Q50" s="1322"/>
      <c r="R50" s="1612"/>
      <c r="S50" s="1315"/>
    </row>
    <row r="51" spans="1:19" s="51" customFormat="1" x14ac:dyDescent="0.25">
      <c r="A51" s="1605"/>
      <c r="B51" s="1326"/>
      <c r="C51" s="1607"/>
      <c r="D51" s="1607"/>
      <c r="E51" s="1608"/>
      <c r="F51" s="1609"/>
      <c r="G51" s="1609"/>
      <c r="H51" s="1610"/>
      <c r="I51" s="1326"/>
      <c r="J51" s="1322"/>
      <c r="K51" s="1322"/>
      <c r="L51" s="1319"/>
      <c r="M51" s="1319"/>
      <c r="N51" s="1320"/>
      <c r="O51" s="1322"/>
      <c r="P51" s="1326"/>
      <c r="Q51" s="1322"/>
      <c r="R51" s="1612"/>
      <c r="S51" s="1315"/>
    </row>
    <row r="52" spans="1:19" s="51" customFormat="1" x14ac:dyDescent="0.25">
      <c r="A52" s="1605"/>
      <c r="B52" s="1326"/>
      <c r="C52" s="1607"/>
      <c r="D52" s="1607"/>
      <c r="E52" s="1608"/>
      <c r="F52" s="1609"/>
      <c r="G52" s="1609"/>
      <c r="H52" s="1610"/>
      <c r="I52" s="1326"/>
      <c r="J52" s="1611"/>
      <c r="K52" s="1322"/>
      <c r="L52" s="1319"/>
      <c r="M52" s="1319"/>
      <c r="N52" s="1320"/>
      <c r="O52" s="1322"/>
      <c r="P52" s="1326"/>
      <c r="Q52" s="1322"/>
      <c r="R52" s="1612"/>
      <c r="S52" s="1315"/>
    </row>
    <row r="53" spans="1:19" s="51" customFormat="1" x14ac:dyDescent="0.25">
      <c r="A53" s="1605"/>
      <c r="B53" s="1326"/>
      <c r="C53" s="1607"/>
      <c r="D53" s="1607"/>
      <c r="E53" s="1608"/>
      <c r="F53" s="1609"/>
      <c r="G53" s="1609"/>
      <c r="H53" s="1610"/>
      <c r="I53" s="1326"/>
      <c r="J53" s="1322"/>
      <c r="K53" s="1322"/>
      <c r="L53" s="1319"/>
      <c r="M53" s="1319"/>
      <c r="N53" s="1320"/>
      <c r="O53" s="1322"/>
      <c r="P53" s="1326"/>
      <c r="Q53" s="1322"/>
      <c r="R53" s="1612"/>
      <c r="S53" s="1315"/>
    </row>
    <row r="54" spans="1:19" s="51" customFormat="1" x14ac:dyDescent="0.25">
      <c r="A54" s="1605"/>
      <c r="B54" s="1326"/>
      <c r="C54" s="1607"/>
      <c r="D54" s="1607"/>
      <c r="E54" s="1608"/>
      <c r="F54" s="1609"/>
      <c r="G54" s="1609"/>
      <c r="H54" s="1610"/>
      <c r="I54" s="1326"/>
      <c r="J54" s="1322"/>
      <c r="K54" s="1322"/>
      <c r="L54" s="1319"/>
      <c r="M54" s="1319"/>
      <c r="N54" s="1320"/>
      <c r="O54" s="1322"/>
      <c r="P54" s="1326"/>
      <c r="Q54" s="1322"/>
      <c r="R54" s="1612"/>
      <c r="S54" s="1315"/>
    </row>
    <row r="55" spans="1:19" s="51" customFormat="1" x14ac:dyDescent="0.25">
      <c r="A55" s="1605"/>
      <c r="B55" s="1326"/>
      <c r="C55" s="1607"/>
      <c r="D55" s="1607"/>
      <c r="E55" s="1608"/>
      <c r="F55" s="1609"/>
      <c r="G55" s="1609"/>
      <c r="H55" s="1610"/>
      <c r="I55" s="1326"/>
      <c r="J55" s="1322"/>
      <c r="K55" s="1322"/>
      <c r="L55" s="1319"/>
      <c r="M55" s="1319"/>
      <c r="N55" s="1320"/>
      <c r="O55" s="1322"/>
      <c r="P55" s="1326"/>
      <c r="Q55" s="1322"/>
      <c r="R55" s="1612"/>
      <c r="S55" s="1315"/>
    </row>
    <row r="56" spans="1:19" s="51" customFormat="1" x14ac:dyDescent="0.25">
      <c r="A56" s="1605"/>
      <c r="B56" s="1326"/>
      <c r="C56" s="1607"/>
      <c r="D56" s="1607"/>
      <c r="E56" s="1608"/>
      <c r="F56" s="1609"/>
      <c r="G56" s="1609"/>
      <c r="H56" s="1610"/>
      <c r="I56" s="1326"/>
      <c r="J56" s="1322"/>
      <c r="K56" s="1322"/>
      <c r="L56" s="1319"/>
      <c r="M56" s="1319"/>
      <c r="N56" s="1320"/>
      <c r="O56" s="1322"/>
      <c r="P56" s="1326"/>
      <c r="Q56" s="1322"/>
      <c r="R56" s="1612"/>
      <c r="S56" s="1315"/>
    </row>
    <row r="57" spans="1:19" s="51" customFormat="1" x14ac:dyDescent="0.25">
      <c r="A57" s="1605"/>
      <c r="B57" s="1326"/>
      <c r="C57" s="1607"/>
      <c r="D57" s="1607"/>
      <c r="E57" s="1608"/>
      <c r="F57" s="1609"/>
      <c r="G57" s="1609"/>
      <c r="H57" s="1610"/>
      <c r="I57" s="1326"/>
      <c r="J57" s="1322"/>
      <c r="K57" s="1322"/>
      <c r="L57" s="1319"/>
      <c r="M57" s="1319"/>
      <c r="N57" s="1320"/>
      <c r="O57" s="1322"/>
      <c r="P57" s="1326"/>
      <c r="Q57" s="1322"/>
      <c r="R57" s="1612"/>
      <c r="S57" s="1315"/>
    </row>
    <row r="58" spans="1:19" s="51" customFormat="1" x14ac:dyDescent="0.25">
      <c r="A58" s="1605"/>
      <c r="B58" s="1326"/>
      <c r="C58" s="1607"/>
      <c r="D58" s="1607"/>
      <c r="E58" s="1608"/>
      <c r="F58" s="1609"/>
      <c r="G58" s="1609"/>
      <c r="H58" s="1610"/>
      <c r="I58" s="1326"/>
      <c r="J58" s="1611"/>
      <c r="K58" s="1322"/>
      <c r="L58" s="1319"/>
      <c r="M58" s="1319"/>
      <c r="N58" s="1320"/>
      <c r="O58" s="1322"/>
      <c r="P58" s="1326"/>
      <c r="Q58" s="1322"/>
      <c r="R58" s="1612"/>
      <c r="S58" s="1315"/>
    </row>
    <row r="59" spans="1:19" s="51" customFormat="1" x14ac:dyDescent="0.25">
      <c r="A59" s="1605"/>
      <c r="B59" s="1326"/>
      <c r="C59" s="1607"/>
      <c r="D59" s="1607"/>
      <c r="E59" s="1608"/>
      <c r="F59" s="1609"/>
      <c r="G59" s="1609"/>
      <c r="H59" s="1610"/>
      <c r="I59" s="1326"/>
      <c r="J59" s="1322"/>
      <c r="K59" s="1322"/>
      <c r="L59" s="1319"/>
      <c r="M59" s="1319"/>
      <c r="N59" s="1320"/>
      <c r="O59" s="1322"/>
      <c r="P59" s="1326"/>
      <c r="Q59" s="1322"/>
      <c r="R59" s="1612"/>
      <c r="S59" s="1315"/>
    </row>
    <row r="60" spans="1:19" s="51" customFormat="1" x14ac:dyDescent="0.25">
      <c r="A60" s="1605"/>
      <c r="B60" s="1326"/>
      <c r="C60" s="1607"/>
      <c r="D60" s="1607"/>
      <c r="E60" s="1608"/>
      <c r="F60" s="1609"/>
      <c r="G60" s="1609"/>
      <c r="H60" s="1610"/>
      <c r="I60" s="1326"/>
      <c r="J60" s="1322"/>
      <c r="K60" s="1322"/>
      <c r="L60" s="1326"/>
      <c r="M60" s="1326"/>
      <c r="N60" s="1322"/>
      <c r="O60" s="1322"/>
      <c r="P60" s="1326"/>
      <c r="Q60" s="1322"/>
      <c r="R60" s="1612"/>
      <c r="S60" s="1315"/>
    </row>
    <row r="61" spans="1:19" s="51" customFormat="1" x14ac:dyDescent="0.25">
      <c r="A61" s="1605"/>
      <c r="B61" s="1326"/>
      <c r="C61" s="1607"/>
      <c r="D61" s="1607"/>
      <c r="E61" s="1608"/>
      <c r="F61" s="1609"/>
      <c r="G61" s="1609"/>
      <c r="H61" s="1610"/>
      <c r="I61" s="1326"/>
      <c r="J61" s="1322"/>
      <c r="K61" s="1322"/>
      <c r="L61" s="1319"/>
      <c r="M61" s="1319"/>
      <c r="N61" s="1320"/>
      <c r="O61" s="1322"/>
      <c r="P61" s="1326"/>
      <c r="Q61" s="1322"/>
      <c r="R61" s="1612"/>
      <c r="S61" s="1315"/>
    </row>
    <row r="62" spans="1:19" s="51" customFormat="1" x14ac:dyDescent="0.25">
      <c r="A62" s="1605"/>
      <c r="B62" s="1326"/>
      <c r="C62" s="1607"/>
      <c r="D62" s="1607"/>
      <c r="E62" s="1608"/>
      <c r="F62" s="1609"/>
      <c r="G62" s="1609"/>
      <c r="H62" s="1610"/>
      <c r="I62" s="1326"/>
      <c r="J62" s="1611"/>
      <c r="K62" s="1322"/>
      <c r="L62" s="1319"/>
      <c r="M62" s="1319"/>
      <c r="N62" s="1320"/>
      <c r="O62" s="1322"/>
      <c r="P62" s="1326"/>
      <c r="Q62" s="1322"/>
      <c r="R62" s="1612"/>
      <c r="S62" s="1798"/>
    </row>
    <row r="63" spans="1:19" s="51" customFormat="1" x14ac:dyDescent="0.25">
      <c r="A63" s="1605"/>
      <c r="B63" s="1326"/>
      <c r="C63" s="1607"/>
      <c r="D63" s="1607"/>
      <c r="E63" s="1608"/>
      <c r="F63" s="1609"/>
      <c r="G63" s="1609"/>
      <c r="H63" s="1610"/>
      <c r="I63" s="1326"/>
      <c r="J63" s="1322"/>
      <c r="K63" s="1322"/>
      <c r="L63" s="1319"/>
      <c r="M63" s="1319"/>
      <c r="N63" s="1320"/>
      <c r="O63" s="1322"/>
      <c r="P63" s="1326"/>
      <c r="Q63" s="1322"/>
      <c r="R63" s="1612"/>
      <c r="S63" s="1800"/>
    </row>
    <row r="64" spans="1:19" s="51" customFormat="1" x14ac:dyDescent="0.25">
      <c r="A64" s="1605"/>
      <c r="B64" s="1326"/>
      <c r="C64" s="1607"/>
      <c r="D64" s="1607"/>
      <c r="E64" s="1608"/>
      <c r="F64" s="1609"/>
      <c r="G64" s="1609"/>
      <c r="H64" s="1610"/>
      <c r="I64" s="1326"/>
      <c r="J64" s="1322"/>
      <c r="K64" s="1322"/>
      <c r="L64" s="1319"/>
      <c r="M64" s="1319"/>
      <c r="N64" s="1320"/>
      <c r="O64" s="1322"/>
      <c r="P64" s="1326"/>
      <c r="Q64" s="1322"/>
      <c r="R64" s="1612"/>
      <c r="S64" s="1800"/>
    </row>
    <row r="65" spans="1:19" s="51" customFormat="1" x14ac:dyDescent="0.25">
      <c r="A65" s="1605"/>
      <c r="B65" s="1326"/>
      <c r="C65" s="1607"/>
      <c r="D65" s="1607"/>
      <c r="E65" s="1608"/>
      <c r="F65" s="1609"/>
      <c r="G65" s="1609"/>
      <c r="H65" s="1610"/>
      <c r="I65" s="1326"/>
      <c r="J65" s="1611"/>
      <c r="K65" s="1322"/>
      <c r="L65" s="1319"/>
      <c r="M65" s="1319"/>
      <c r="N65" s="1320"/>
      <c r="O65" s="1322"/>
      <c r="P65" s="1326"/>
      <c r="Q65" s="1322"/>
      <c r="R65" s="1612"/>
      <c r="S65" s="1800"/>
    </row>
    <row r="66" spans="1:19" s="51" customFormat="1" x14ac:dyDescent="0.25">
      <c r="A66" s="1605"/>
      <c r="B66" s="1326"/>
      <c r="C66" s="1607"/>
      <c r="D66" s="1607"/>
      <c r="E66" s="1608"/>
      <c r="F66" s="1609"/>
      <c r="G66" s="1609"/>
      <c r="H66" s="1610"/>
      <c r="I66" s="1326"/>
      <c r="J66" s="1322"/>
      <c r="K66" s="1322"/>
      <c r="L66" s="1319"/>
      <c r="M66" s="1319"/>
      <c r="N66" s="1320"/>
      <c r="O66" s="1322"/>
      <c r="P66" s="1326"/>
      <c r="Q66" s="1322"/>
      <c r="R66" s="1612"/>
      <c r="S66" s="1799"/>
    </row>
    <row r="67" spans="1:19" s="51" customFormat="1" x14ac:dyDescent="0.25">
      <c r="A67" s="1605"/>
      <c r="B67" s="1326"/>
      <c r="C67" s="1607"/>
      <c r="D67" s="1607"/>
      <c r="E67" s="1608"/>
      <c r="F67" s="1609"/>
      <c r="G67" s="1609"/>
      <c r="H67" s="1610"/>
      <c r="I67" s="1326"/>
      <c r="J67" s="1322"/>
      <c r="K67" s="1322"/>
      <c r="L67" s="1319"/>
      <c r="M67" s="1319"/>
      <c r="N67" s="1320"/>
      <c r="O67" s="1322"/>
      <c r="P67" s="1326"/>
      <c r="Q67" s="1322"/>
      <c r="R67" s="1612"/>
      <c r="S67" s="1315"/>
    </row>
    <row r="68" spans="1:19" s="51" customFormat="1" x14ac:dyDescent="0.25">
      <c r="A68" s="1605"/>
      <c r="B68" s="1326"/>
      <c r="C68" s="1607"/>
      <c r="D68" s="1607"/>
      <c r="E68" s="1608"/>
      <c r="F68" s="1609"/>
      <c r="G68" s="1609"/>
      <c r="H68" s="1610"/>
      <c r="I68" s="1326"/>
      <c r="J68" s="1322"/>
      <c r="K68" s="1613"/>
      <c r="L68" s="1319"/>
      <c r="M68" s="1319"/>
      <c r="N68" s="1320"/>
      <c r="O68" s="1322"/>
      <c r="P68" s="1326"/>
      <c r="Q68" s="1322"/>
      <c r="R68" s="1612"/>
      <c r="S68" s="1315"/>
    </row>
    <row r="69" spans="1:19" s="51" customFormat="1" x14ac:dyDescent="0.25">
      <c r="A69" s="1605"/>
      <c r="B69" s="1326"/>
      <c r="C69" s="1607"/>
      <c r="D69" s="1607"/>
      <c r="E69" s="1608"/>
      <c r="F69" s="1609"/>
      <c r="G69" s="1609"/>
      <c r="H69" s="1610"/>
      <c r="I69" s="1326"/>
      <c r="J69" s="1611"/>
      <c r="K69" s="1613"/>
      <c r="L69" s="1319"/>
      <c r="M69" s="1319"/>
      <c r="N69" s="1320"/>
      <c r="O69" s="1322"/>
      <c r="P69" s="1326"/>
      <c r="Q69" s="1322"/>
      <c r="R69" s="1612"/>
      <c r="S69" s="1315"/>
    </row>
    <row r="70" spans="1:19" s="51" customFormat="1" x14ac:dyDescent="0.25">
      <c r="A70" s="1605"/>
      <c r="B70" s="1326"/>
      <c r="C70" s="1607"/>
      <c r="D70" s="1607"/>
      <c r="E70" s="1608"/>
      <c r="F70" s="1609"/>
      <c r="G70" s="1609"/>
      <c r="H70" s="1610"/>
      <c r="I70" s="1326"/>
      <c r="J70" s="1611"/>
      <c r="K70" s="1322"/>
      <c r="L70" s="1319"/>
      <c r="M70" s="1319"/>
      <c r="N70" s="1320"/>
      <c r="O70" s="1322"/>
      <c r="P70" s="1326"/>
      <c r="Q70" s="1322"/>
      <c r="R70" s="1612"/>
      <c r="S70" s="1315"/>
    </row>
    <row r="71" spans="1:19" s="51" customFormat="1" x14ac:dyDescent="0.25">
      <c r="A71" s="1322"/>
      <c r="B71" s="1326"/>
      <c r="C71" s="1614"/>
      <c r="D71" s="1614"/>
      <c r="E71" s="1608"/>
      <c r="F71" s="1609"/>
      <c r="G71" s="1609"/>
      <c r="H71" s="1610"/>
      <c r="I71" s="1326"/>
      <c r="J71" s="1322"/>
      <c r="K71" s="1322"/>
      <c r="L71" s="1319"/>
      <c r="M71" s="1319"/>
      <c r="N71" s="1320"/>
      <c r="O71" s="1322"/>
      <c r="P71" s="1326"/>
      <c r="Q71" s="1322"/>
      <c r="R71" s="1612"/>
      <c r="S71" s="1315"/>
    </row>
    <row r="72" spans="1:19" s="51" customFormat="1" x14ac:dyDescent="0.25">
      <c r="A72" s="1322"/>
      <c r="B72" s="1326"/>
      <c r="C72" s="1607"/>
      <c r="D72" s="1607"/>
      <c r="E72" s="1608"/>
      <c r="F72" s="1609"/>
      <c r="G72" s="1609"/>
      <c r="H72" s="1610"/>
      <c r="I72" s="1326"/>
      <c r="J72" s="1322"/>
      <c r="K72" s="1322"/>
      <c r="L72" s="1319"/>
      <c r="M72" s="1319"/>
      <c r="N72" s="1320"/>
      <c r="O72" s="1322"/>
      <c r="P72" s="1326"/>
      <c r="Q72" s="1322"/>
      <c r="R72" s="1612"/>
      <c r="S72" s="1315"/>
    </row>
    <row r="73" spans="1:19" s="51" customFormat="1" x14ac:dyDescent="0.25">
      <c r="A73" s="1322"/>
      <c r="B73" s="1326"/>
      <c r="C73" s="1607"/>
      <c r="D73" s="1607"/>
      <c r="E73" s="1608"/>
      <c r="F73" s="1609"/>
      <c r="G73" s="1609"/>
      <c r="H73" s="1610"/>
      <c r="I73" s="1326"/>
      <c r="J73" s="1322"/>
      <c r="K73" s="1322"/>
      <c r="L73" s="1319"/>
      <c r="M73" s="1319"/>
      <c r="N73" s="1320"/>
      <c r="O73" s="1322"/>
      <c r="P73" s="1326"/>
      <c r="Q73" s="1322"/>
      <c r="R73" s="1612"/>
      <c r="S73" s="1315"/>
    </row>
    <row r="74" spans="1:19" s="51" customFormat="1" x14ac:dyDescent="0.25">
      <c r="A74" s="1322"/>
      <c r="B74" s="1326"/>
      <c r="C74" s="1607"/>
      <c r="D74" s="1607"/>
      <c r="E74" s="1608"/>
      <c r="F74" s="1609"/>
      <c r="G74" s="1609"/>
      <c r="H74" s="1610"/>
      <c r="I74" s="1326"/>
      <c r="J74" s="1322"/>
      <c r="K74" s="1322"/>
      <c r="L74" s="1319"/>
      <c r="M74" s="1319"/>
      <c r="N74" s="1320"/>
      <c r="O74" s="1322"/>
      <c r="P74" s="1326"/>
      <c r="Q74" s="1322"/>
      <c r="R74" s="1612"/>
      <c r="S74" s="1315"/>
    </row>
    <row r="75" spans="1:19" s="51" customFormat="1" x14ac:dyDescent="0.25">
      <c r="A75" s="1322"/>
      <c r="B75" s="1326"/>
      <c r="C75" s="1607"/>
      <c r="D75" s="1607"/>
      <c r="E75" s="1608"/>
      <c r="F75" s="1609"/>
      <c r="G75" s="1609"/>
      <c r="H75" s="1610"/>
      <c r="I75" s="1326"/>
      <c r="J75" s="1322"/>
      <c r="K75" s="1322"/>
      <c r="L75" s="1319"/>
      <c r="M75" s="1319"/>
      <c r="N75" s="1320"/>
      <c r="O75" s="1322"/>
      <c r="P75" s="1326"/>
      <c r="Q75" s="1322"/>
      <c r="R75" s="1612"/>
      <c r="S75" s="1315"/>
    </row>
    <row r="76" spans="1:19" s="51" customFormat="1" x14ac:dyDescent="0.25">
      <c r="A76" s="1322"/>
      <c r="B76" s="1326"/>
      <c r="C76" s="1607"/>
      <c r="D76" s="1607"/>
      <c r="E76" s="1608"/>
      <c r="F76" s="1609"/>
      <c r="G76" s="1609"/>
      <c r="H76" s="1610"/>
      <c r="I76" s="1326"/>
      <c r="J76" s="1322"/>
      <c r="K76" s="1322"/>
      <c r="L76" s="1319"/>
      <c r="M76" s="1319"/>
      <c r="N76" s="1320"/>
      <c r="O76" s="1322"/>
      <c r="P76" s="1326"/>
      <c r="Q76" s="1322"/>
      <c r="R76" s="1612"/>
      <c r="S76" s="1315"/>
    </row>
    <row r="77" spans="1:19" s="51" customFormat="1" x14ac:dyDescent="0.25">
      <c r="A77" s="1322"/>
      <c r="B77" s="1326"/>
      <c r="C77" s="1607"/>
      <c r="D77" s="1607"/>
      <c r="E77" s="1608"/>
      <c r="F77" s="1609"/>
      <c r="G77" s="1609"/>
      <c r="H77" s="1610"/>
      <c r="I77" s="1326"/>
      <c r="J77" s="1322"/>
      <c r="K77" s="1322"/>
      <c r="L77" s="1319"/>
      <c r="M77" s="1319"/>
      <c r="N77" s="1320"/>
      <c r="O77" s="1322"/>
      <c r="P77" s="1326"/>
      <c r="Q77" s="1322"/>
      <c r="R77" s="1612"/>
      <c r="S77" s="1315"/>
    </row>
    <row r="78" spans="1:19" s="51" customFormat="1" x14ac:dyDescent="0.25">
      <c r="A78" s="1322"/>
      <c r="B78" s="1326"/>
      <c r="C78" s="1607"/>
      <c r="D78" s="1607"/>
      <c r="E78" s="1608"/>
      <c r="F78" s="1609"/>
      <c r="G78" s="1609"/>
      <c r="H78" s="1610"/>
      <c r="I78" s="1326"/>
      <c r="J78" s="1322"/>
      <c r="K78" s="1322"/>
      <c r="L78" s="1319"/>
      <c r="M78" s="1319"/>
      <c r="N78" s="1320"/>
      <c r="O78" s="1322"/>
      <c r="P78" s="1326"/>
      <c r="Q78" s="1322"/>
      <c r="R78" s="1612"/>
      <c r="S78" s="1315"/>
    </row>
    <row r="79" spans="1:19" s="51" customFormat="1" x14ac:dyDescent="0.25">
      <c r="A79" s="1322"/>
      <c r="B79" s="1326"/>
      <c r="C79" s="1607"/>
      <c r="D79" s="1607"/>
      <c r="E79" s="1608"/>
      <c r="F79" s="1609"/>
      <c r="G79" s="1609"/>
      <c r="H79" s="1610"/>
      <c r="I79" s="1326"/>
      <c r="J79" s="1322"/>
      <c r="K79" s="1322"/>
      <c r="L79" s="1319"/>
      <c r="M79" s="1319"/>
      <c r="N79" s="1320"/>
      <c r="O79" s="1322"/>
      <c r="P79" s="1326"/>
      <c r="Q79" s="1322"/>
      <c r="R79" s="1612"/>
      <c r="S79" s="1315"/>
    </row>
    <row r="80" spans="1:19" s="51" customFormat="1" x14ac:dyDescent="0.25">
      <c r="S80" s="1615"/>
    </row>
    <row r="81" spans="2:19" s="51" customFormat="1" x14ac:dyDescent="0.25"/>
    <row r="82" spans="2:19" s="51" customFormat="1" x14ac:dyDescent="0.25">
      <c r="B82" s="1816" t="s">
        <v>672</v>
      </c>
      <c r="C82" s="1818"/>
      <c r="D82" s="1819"/>
      <c r="E82" s="1819"/>
      <c r="F82" s="1820"/>
      <c r="G82" s="1307"/>
    </row>
    <row r="83" spans="2:19" s="51" customFormat="1" x14ac:dyDescent="0.25">
      <c r="B83" s="1817"/>
      <c r="C83" s="1821"/>
      <c r="D83" s="1822"/>
      <c r="E83" s="1822"/>
      <c r="F83" s="1823"/>
      <c r="G83" s="1307"/>
    </row>
    <row r="84" spans="2:19" s="51" customFormat="1" ht="14.4" thickBot="1" x14ac:dyDescent="0.3"/>
    <row r="85" spans="2:19" s="51" customFormat="1" ht="14.4" thickBot="1" x14ac:dyDescent="0.3">
      <c r="B85" s="1824" t="s">
        <v>673</v>
      </c>
      <c r="C85" s="1801" t="s">
        <v>1778</v>
      </c>
      <c r="D85" s="1802"/>
      <c r="E85" s="1802"/>
      <c r="F85" s="1803"/>
      <c r="G85" s="1308"/>
      <c r="H85" s="1308"/>
      <c r="I85" s="1308"/>
      <c r="J85" s="1308"/>
      <c r="K85" s="1308"/>
      <c r="L85" s="1308"/>
      <c r="M85" s="1308"/>
      <c r="N85" s="1308"/>
      <c r="O85" s="1308"/>
      <c r="P85" s="1308"/>
      <c r="Q85" s="1308"/>
      <c r="R85" s="1308"/>
      <c r="S85" s="1308"/>
    </row>
    <row r="86" spans="2:19" s="51" customFormat="1" ht="14.4" thickBot="1" x14ac:dyDescent="0.3">
      <c r="B86" s="1825"/>
      <c r="C86" s="1801"/>
      <c r="D86" s="1802"/>
      <c r="E86" s="1802"/>
      <c r="F86" s="1803"/>
      <c r="G86" s="310"/>
      <c r="H86" s="310"/>
      <c r="I86" s="310"/>
      <c r="J86" s="310"/>
      <c r="K86" s="310"/>
      <c r="L86" s="310"/>
      <c r="M86" s="310"/>
      <c r="N86" s="310"/>
      <c r="O86" s="310"/>
      <c r="P86" s="310"/>
      <c r="Q86" s="310"/>
      <c r="R86" s="310"/>
      <c r="S86" s="310"/>
    </row>
    <row r="87" spans="2:19" s="51" customFormat="1" ht="14.4" thickBot="1" x14ac:dyDescent="0.3">
      <c r="B87" s="1826"/>
      <c r="C87" s="1801"/>
      <c r="D87" s="1802"/>
      <c r="E87" s="1802"/>
      <c r="F87" s="1803"/>
      <c r="G87" s="310"/>
      <c r="H87" s="310"/>
      <c r="I87" s="310"/>
      <c r="J87" s="310"/>
      <c r="K87" s="310"/>
      <c r="L87" s="310"/>
      <c r="M87" s="310"/>
      <c r="N87" s="310"/>
      <c r="O87" s="310"/>
      <c r="P87" s="310"/>
      <c r="Q87" s="310"/>
      <c r="R87" s="310"/>
      <c r="S87" s="310"/>
    </row>
    <row r="88" spans="2:19" s="51" customFormat="1" ht="14.4" thickBot="1" x14ac:dyDescent="0.3">
      <c r="B88" s="1309" t="s">
        <v>674</v>
      </c>
      <c r="C88" s="1801" t="s">
        <v>1779</v>
      </c>
      <c r="D88" s="1802"/>
      <c r="E88" s="1802"/>
      <c r="F88" s="1803"/>
      <c r="G88" s="310"/>
      <c r="H88" s="310"/>
      <c r="I88" s="310"/>
      <c r="J88" s="310"/>
      <c r="K88" s="310"/>
      <c r="L88" s="310"/>
      <c r="M88" s="310"/>
      <c r="N88" s="310"/>
      <c r="O88" s="310"/>
      <c r="P88" s="310"/>
      <c r="Q88" s="310"/>
      <c r="R88" s="310"/>
      <c r="S88" s="310"/>
    </row>
    <row r="89" spans="2:19" s="51" customFormat="1" x14ac:dyDescent="0.25"/>
    <row r="90" spans="2:19" s="51" customFormat="1" x14ac:dyDescent="0.25">
      <c r="B90" s="51" t="s">
        <v>675</v>
      </c>
    </row>
    <row r="91" spans="2:19" s="51" customFormat="1" x14ac:dyDescent="0.25">
      <c r="B91" s="51" t="s">
        <v>676</v>
      </c>
    </row>
    <row r="92" spans="2:19" s="51" customFormat="1" x14ac:dyDescent="0.25">
      <c r="B92" s="51" t="s">
        <v>677</v>
      </c>
    </row>
    <row r="93" spans="2:19" s="51" customFormat="1" x14ac:dyDescent="0.25"/>
    <row r="94" spans="2:19" s="51" customFormat="1" x14ac:dyDescent="0.25"/>
    <row r="95" spans="2:19" s="51" customFormat="1" hidden="1" x14ac:dyDescent="0.25"/>
    <row r="96" spans="2:19" hidden="1" x14ac:dyDescent="0.25"/>
    <row r="97" spans="2:3" hidden="1" x14ac:dyDescent="0.25"/>
    <row r="98" spans="2:3" hidden="1" x14ac:dyDescent="0.25"/>
    <row r="99" spans="2:3" hidden="1" x14ac:dyDescent="0.25"/>
    <row r="100" spans="2:3" hidden="1" x14ac:dyDescent="0.25"/>
    <row r="101" spans="2:3" s="311" customFormat="1" hidden="1" x14ac:dyDescent="0.25"/>
    <row r="102" spans="2:3" s="311" customFormat="1" hidden="1" x14ac:dyDescent="0.25">
      <c r="B102" s="312" t="s">
        <v>678</v>
      </c>
      <c r="C102" s="312" t="s">
        <v>679</v>
      </c>
    </row>
    <row r="103" spans="2:3" s="311" customFormat="1" hidden="1" x14ac:dyDescent="0.25">
      <c r="B103" s="313" t="s">
        <v>680</v>
      </c>
      <c r="C103" s="314"/>
    </row>
    <row r="104" spans="2:3" s="311" customFormat="1" hidden="1" x14ac:dyDescent="0.25">
      <c r="B104" s="313" t="s">
        <v>681</v>
      </c>
      <c r="C104" s="314"/>
    </row>
    <row r="105" spans="2:3" s="311" customFormat="1" hidden="1" x14ac:dyDescent="0.25">
      <c r="B105" s="313" t="s">
        <v>682</v>
      </c>
      <c r="C105" s="314"/>
    </row>
    <row r="106" spans="2:3" s="311" customFormat="1" hidden="1" x14ac:dyDescent="0.25">
      <c r="B106" s="313" t="s">
        <v>683</v>
      </c>
      <c r="C106" s="314"/>
    </row>
    <row r="107" spans="2:3" hidden="1" x14ac:dyDescent="0.25"/>
    <row r="108" spans="2:3" hidden="1" x14ac:dyDescent="0.25"/>
    <row r="109" spans="2:3" hidden="1" x14ac:dyDescent="0.25"/>
    <row r="110" spans="2:3" hidden="1" x14ac:dyDescent="0.25"/>
    <row r="111" spans="2:3" hidden="1" x14ac:dyDescent="0.25"/>
    <row r="112" spans="2:3" hidden="1" x14ac:dyDescent="0.25"/>
    <row r="113" hidden="1" x14ac:dyDescent="0.25"/>
  </sheetData>
  <mergeCells count="15">
    <mergeCell ref="C88:F88"/>
    <mergeCell ref="B1:B2"/>
    <mergeCell ref="C4:D4"/>
    <mergeCell ref="C5:H5"/>
    <mergeCell ref="C6:D6"/>
    <mergeCell ref="C7:D7"/>
    <mergeCell ref="C1:R2"/>
    <mergeCell ref="J10:Q10"/>
    <mergeCell ref="B82:B83"/>
    <mergeCell ref="C82:F83"/>
    <mergeCell ref="B85:B87"/>
    <mergeCell ref="C85:F87"/>
    <mergeCell ref="S38:S39"/>
    <mergeCell ref="S62:S66"/>
    <mergeCell ref="S12:S13"/>
  </mergeCells>
  <conditionalFormatting sqref="G85:S88">
    <cfRule type="cellIs" dxfId="207" priority="8" operator="equal">
      <formula>"INEXISTENTE"</formula>
    </cfRule>
  </conditionalFormatting>
  <conditionalFormatting sqref="K85:S88">
    <cfRule type="cellIs" dxfId="206" priority="9" operator="equal">
      <formula>"INEFICAZ"</formula>
    </cfRule>
    <cfRule type="cellIs" dxfId="205" priority="10" operator="equal">
      <formula>"CON DEFICIENCIAS"</formula>
    </cfRule>
    <cfRule type="cellIs" dxfId="204" priority="11" operator="equal">
      <formula>"EFICAZ"</formula>
    </cfRule>
    <cfRule type="cellIs" dxfId="203" priority="12" operator="equal">
      <formula>"CRÍTICO"</formula>
    </cfRule>
    <cfRule type="cellIs" dxfId="202" priority="13" operator="equal">
      <formula>"ALTO"</formula>
    </cfRule>
    <cfRule type="cellIs" dxfId="201" priority="14" operator="equal">
      <formula>"MEDIO"</formula>
    </cfRule>
    <cfRule type="cellIs" dxfId="200" priority="15" operator="equal">
      <formula>"BAJO"</formula>
    </cfRule>
  </conditionalFormatting>
  <conditionalFormatting sqref="G85:S88">
    <cfRule type="cellIs" dxfId="199" priority="17" operator="equal">
      <formula>"INADECUADO"</formula>
    </cfRule>
    <cfRule type="cellIs" dxfId="198" priority="18" operator="equal">
      <formula>"PARCIALMENTE ADECUADO"</formula>
    </cfRule>
    <cfRule type="cellIs" dxfId="197" priority="19" operator="equal">
      <formula>"ADECUADO"</formula>
    </cfRule>
    <cfRule type="cellIs" dxfId="196" priority="20" operator="equal">
      <formula>"ERROR"</formula>
    </cfRule>
  </conditionalFormatting>
  <conditionalFormatting sqref="C1">
    <cfRule type="cellIs" dxfId="195" priority="1" operator="equal">
      <formula>"ERROR"</formula>
    </cfRule>
  </conditionalFormatting>
  <conditionalFormatting sqref="S2">
    <cfRule type="cellIs" dxfId="194" priority="3" operator="equal">
      <formula>"INADECUADO"</formula>
    </cfRule>
    <cfRule type="cellIs" dxfId="193" priority="4" operator="equal">
      <formula>"PARCIALMENTE ADECUADO"</formula>
    </cfRule>
    <cfRule type="cellIs" dxfId="192" priority="5" operator="equal">
      <formula>"ADECUADO"</formula>
    </cfRule>
    <cfRule type="cellIs" dxfId="191" priority="6" operator="equal">
      <formula>"ERROR"</formula>
    </cfRule>
  </conditionalFormatting>
  <conditionalFormatting sqref="S2">
    <cfRule type="cellIs" dxfId="190" priority="2" operator="equal">
      <formula>"INEXISTENTE"</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workbookViewId="0"/>
  </sheetViews>
  <sheetFormatPr baseColWidth="10" defaultColWidth="11.44140625" defaultRowHeight="13.8" x14ac:dyDescent="0.25"/>
  <cols>
    <col min="1" max="1" width="11.44140625" style="11"/>
    <col min="2" max="2" width="33.109375" style="11" customWidth="1"/>
    <col min="3" max="3" width="26" style="315" customWidth="1"/>
    <col min="4" max="4" width="23.109375" style="315" customWidth="1"/>
    <col min="5" max="5" width="21.6640625" style="11" customWidth="1"/>
    <col min="6" max="6" width="12.44140625" style="11" customWidth="1"/>
    <col min="7" max="7" width="17.33203125" style="11" customWidth="1"/>
    <col min="8" max="8" width="21.44140625" style="62" customWidth="1"/>
    <col min="9" max="9" width="24.6640625" style="11" bestFit="1" customWidth="1"/>
    <col min="10" max="10" width="24.6640625" style="11" customWidth="1"/>
    <col min="11" max="11" width="21.33203125" style="62" customWidth="1"/>
    <col min="12" max="14" width="27.44140625" style="11" customWidth="1"/>
    <col min="15" max="15" width="35.6640625" style="11" customWidth="1"/>
    <col min="16" max="18" width="16.33203125" style="11" customWidth="1"/>
    <col min="19" max="19" width="17" style="11" customWidth="1"/>
    <col min="20" max="20" width="16.109375" style="11" customWidth="1"/>
    <col min="21" max="16384" width="11.44140625" style="11"/>
  </cols>
  <sheetData>
    <row r="1" spans="1:19" ht="51.75" customHeight="1" x14ac:dyDescent="0.25">
      <c r="B1" s="1804"/>
      <c r="C1" s="1809" t="s">
        <v>1695</v>
      </c>
      <c r="D1" s="1810"/>
      <c r="E1" s="1810"/>
      <c r="F1" s="1810"/>
      <c r="G1" s="1810"/>
      <c r="H1" s="1810"/>
      <c r="I1" s="1810"/>
      <c r="J1" s="1810"/>
      <c r="K1" s="1810"/>
      <c r="L1" s="1810"/>
      <c r="M1" s="1810"/>
      <c r="N1" s="1810"/>
      <c r="O1" s="1810"/>
      <c r="P1" s="1810"/>
      <c r="Q1" s="1810"/>
      <c r="R1" s="1811"/>
      <c r="S1" s="1134" t="s">
        <v>1694</v>
      </c>
    </row>
    <row r="2" spans="1:19" ht="40.5" customHeight="1" x14ac:dyDescent="0.25">
      <c r="B2" s="1805"/>
      <c r="C2" s="1812"/>
      <c r="D2" s="1813"/>
      <c r="E2" s="1813"/>
      <c r="F2" s="1813"/>
      <c r="G2" s="1813"/>
      <c r="H2" s="1813"/>
      <c r="I2" s="1813"/>
      <c r="J2" s="1813"/>
      <c r="K2" s="1813"/>
      <c r="L2" s="1813"/>
      <c r="M2" s="1813"/>
      <c r="N2" s="1813"/>
      <c r="O2" s="1813"/>
      <c r="P2" s="1813"/>
      <c r="Q2" s="1813"/>
      <c r="R2" s="1814"/>
      <c r="S2" s="1132" t="s">
        <v>1689</v>
      </c>
    </row>
    <row r="4" spans="1:19" ht="17.399999999999999" x14ac:dyDescent="0.3">
      <c r="B4" s="303"/>
      <c r="C4" s="1827"/>
      <c r="D4" s="1827"/>
      <c r="E4" s="304"/>
      <c r="F4" s="9"/>
      <c r="G4" s="9"/>
      <c r="H4" s="1307"/>
    </row>
    <row r="5" spans="1:19" ht="17.399999999999999" x14ac:dyDescent="0.25">
      <c r="C5" s="1807" t="s">
        <v>684</v>
      </c>
      <c r="D5" s="1807"/>
      <c r="E5" s="1807"/>
      <c r="F5" s="1807"/>
      <c r="G5" s="1807"/>
      <c r="H5" s="1807"/>
    </row>
    <row r="6" spans="1:19" x14ac:dyDescent="0.25">
      <c r="B6" s="11" t="s">
        <v>0</v>
      </c>
      <c r="C6" s="1828" t="str">
        <f>+FENECIMIENTO!D4</f>
        <v xml:space="preserve">80000 - DIRECCIÓN SECTOR MOVILIDAD </v>
      </c>
      <c r="D6" s="1828"/>
    </row>
    <row r="7" spans="1:19" x14ac:dyDescent="0.25">
      <c r="B7" s="11" t="s">
        <v>1</v>
      </c>
      <c r="C7" s="1829" t="str">
        <f>+FENECIMIENTO!D5</f>
        <v>204 - Instituto de Desarrollo Urbano – IDU</v>
      </c>
      <c r="D7" s="1829"/>
      <c r="F7" s="305" t="s">
        <v>2</v>
      </c>
      <c r="G7" s="306"/>
      <c r="H7" s="1602">
        <f>+FENECIMIENTO!K5</f>
        <v>2024</v>
      </c>
      <c r="P7" s="307"/>
      <c r="Q7" s="307"/>
      <c r="R7" s="307"/>
      <c r="S7" s="307"/>
    </row>
    <row r="8" spans="1:19" x14ac:dyDescent="0.25">
      <c r="B8" s="11" t="s">
        <v>1680</v>
      </c>
      <c r="C8" s="1303">
        <f>+FENECIMIENTO!D6</f>
        <v>2025</v>
      </c>
      <c r="D8" s="1304"/>
      <c r="F8" s="305" t="s">
        <v>3</v>
      </c>
      <c r="G8" s="306"/>
      <c r="H8" s="1602">
        <f>+FENECIMIENTO!K6</f>
        <v>87</v>
      </c>
    </row>
    <row r="9" spans="1:19" x14ac:dyDescent="0.25">
      <c r="B9" s="11" t="s">
        <v>4</v>
      </c>
      <c r="C9" s="1301">
        <f>+FENECIMIENTO!D7</f>
        <v>45693</v>
      </c>
      <c r="D9" s="1305"/>
      <c r="F9" s="305" t="s">
        <v>5</v>
      </c>
      <c r="G9" s="306"/>
      <c r="H9" s="1624">
        <f>+FENECIMIENTO!K7</f>
        <v>45693</v>
      </c>
    </row>
    <row r="10" spans="1:19" ht="15.6" x14ac:dyDescent="0.3">
      <c r="B10" s="49"/>
      <c r="E10" s="49"/>
      <c r="F10" s="49"/>
      <c r="G10" s="49"/>
      <c r="I10" s="11" t="s">
        <v>651</v>
      </c>
      <c r="J10" s="1830" t="s">
        <v>652</v>
      </c>
      <c r="K10" s="1831"/>
      <c r="L10" s="1831"/>
      <c r="M10" s="1831"/>
      <c r="N10" s="1831"/>
      <c r="O10" s="1831"/>
      <c r="P10" s="1831"/>
      <c r="Q10" s="1831"/>
      <c r="R10" s="1831"/>
    </row>
    <row r="11" spans="1:19" s="51" customFormat="1" ht="110.4" x14ac:dyDescent="0.25">
      <c r="A11" s="1306" t="s">
        <v>653</v>
      </c>
      <c r="B11" s="1306" t="s">
        <v>654</v>
      </c>
      <c r="C11" s="1310" t="s">
        <v>655</v>
      </c>
      <c r="D11" s="1310" t="s">
        <v>656</v>
      </c>
      <c r="E11" s="1306" t="s">
        <v>657</v>
      </c>
      <c r="F11" s="1306" t="s">
        <v>658</v>
      </c>
      <c r="G11" s="1306" t="s">
        <v>685</v>
      </c>
      <c r="H11" s="1306" t="s">
        <v>660</v>
      </c>
      <c r="I11" s="1306" t="s">
        <v>661</v>
      </c>
      <c r="J11" s="1306" t="s">
        <v>662</v>
      </c>
      <c r="K11" s="1306" t="s">
        <v>663</v>
      </c>
      <c r="L11" s="1306" t="s">
        <v>664</v>
      </c>
      <c r="M11" s="1306" t="s">
        <v>665</v>
      </c>
      <c r="N11" s="1306" t="s">
        <v>668</v>
      </c>
      <c r="O11" s="1306" t="s">
        <v>667</v>
      </c>
      <c r="P11" s="1306" t="s">
        <v>686</v>
      </c>
      <c r="Q11" s="1306" t="s">
        <v>666</v>
      </c>
      <c r="R11" s="1306" t="s">
        <v>669</v>
      </c>
      <c r="S11" s="1306" t="s">
        <v>670</v>
      </c>
    </row>
    <row r="12" spans="1:19" s="1323" customFormat="1" ht="12" customHeight="1" x14ac:dyDescent="0.2">
      <c r="A12" s="1616">
        <v>4110</v>
      </c>
      <c r="B12" s="1617" t="s">
        <v>1780</v>
      </c>
      <c r="C12" s="1312">
        <v>30842304067</v>
      </c>
      <c r="D12" s="1312">
        <v>20848258447</v>
      </c>
      <c r="E12" s="1313">
        <f>+C12-D12</f>
        <v>9994045620</v>
      </c>
      <c r="F12" s="1609">
        <f>+(C12-D12)/D12</f>
        <v>0.47937076592784239</v>
      </c>
      <c r="G12" s="1609" t="s">
        <v>1781</v>
      </c>
      <c r="H12" s="1610" t="e">
        <f>+C12/$C$44</f>
        <v>#DIV/0!</v>
      </c>
      <c r="I12" s="1618"/>
      <c r="J12" s="1317"/>
      <c r="K12" s="1627"/>
      <c r="L12" s="1318"/>
      <c r="M12" s="1319"/>
      <c r="N12" s="1320"/>
      <c r="O12" s="1321"/>
      <c r="P12" s="1322" t="s">
        <v>1351</v>
      </c>
      <c r="Q12" s="1320" t="s">
        <v>1351</v>
      </c>
      <c r="R12" s="1320" t="s">
        <v>1351</v>
      </c>
      <c r="S12" s="1619" t="s">
        <v>1782</v>
      </c>
    </row>
    <row r="13" spans="1:19" s="1323" customFormat="1" ht="12" customHeight="1" x14ac:dyDescent="0.2">
      <c r="A13" s="1616">
        <v>4195</v>
      </c>
      <c r="B13" s="1617" t="s">
        <v>1783</v>
      </c>
      <c r="C13" s="1312">
        <v>-101802764</v>
      </c>
      <c r="D13" s="1312">
        <v>-20234409</v>
      </c>
      <c r="E13" s="1313">
        <f t="shared" ref="E13:E41" si="0">+C13-D13</f>
        <v>-81568355</v>
      </c>
      <c r="F13" s="1609">
        <f t="shared" ref="F13:F41" si="1">+(C13-D13)/D13</f>
        <v>4.0311706163496055</v>
      </c>
      <c r="G13" s="1609"/>
      <c r="H13" s="1610" t="e">
        <f t="shared" ref="H13:H44" si="2">+C13/$C$44</f>
        <v>#DIV/0!</v>
      </c>
      <c r="I13" s="1618"/>
      <c r="J13" s="1317"/>
      <c r="K13" s="1627"/>
      <c r="L13" s="1324"/>
      <c r="M13" s="1319"/>
      <c r="N13" s="1320"/>
      <c r="O13" s="1321"/>
      <c r="P13" s="1322" t="s">
        <v>1351</v>
      </c>
      <c r="Q13" s="1320" t="s">
        <v>1351</v>
      </c>
      <c r="R13" s="1320" t="s">
        <v>1351</v>
      </c>
      <c r="S13" s="1619" t="s">
        <v>1782</v>
      </c>
    </row>
    <row r="14" spans="1:19" s="1323" customFormat="1" ht="12" customHeight="1" x14ac:dyDescent="0.2">
      <c r="A14" s="1616"/>
      <c r="B14" s="1617"/>
      <c r="C14" s="1312"/>
      <c r="D14" s="1312"/>
      <c r="E14" s="1313"/>
      <c r="F14" s="1609"/>
      <c r="G14" s="1609"/>
      <c r="H14" s="1610"/>
      <c r="I14" s="1618"/>
      <c r="J14" s="1317"/>
      <c r="K14" s="1627"/>
      <c r="L14" s="1324"/>
      <c r="M14" s="1319"/>
      <c r="N14" s="1320"/>
      <c r="O14" s="1321"/>
      <c r="P14" s="1322"/>
      <c r="Q14" s="1320"/>
      <c r="R14" s="1320"/>
      <c r="S14" s="1619"/>
    </row>
    <row r="15" spans="1:19" s="1323" customFormat="1" ht="12" customHeight="1" x14ac:dyDescent="0.2">
      <c r="A15" s="1616"/>
      <c r="B15" s="1617"/>
      <c r="C15" s="1312"/>
      <c r="D15" s="1312"/>
      <c r="E15" s="1313"/>
      <c r="F15" s="1609"/>
      <c r="G15" s="1609"/>
      <c r="H15" s="1610"/>
      <c r="I15" s="1618"/>
      <c r="J15" s="1317"/>
      <c r="K15" s="1627"/>
      <c r="L15" s="1324"/>
      <c r="M15" s="1319"/>
      <c r="N15" s="1320"/>
      <c r="O15" s="1321"/>
      <c r="P15" s="1322"/>
      <c r="Q15" s="1320"/>
      <c r="R15" s="1320"/>
      <c r="S15" s="1619"/>
    </row>
    <row r="16" spans="1:19" s="1323" customFormat="1" ht="12" customHeight="1" x14ac:dyDescent="0.2">
      <c r="A16" s="1616"/>
      <c r="B16" s="1617"/>
      <c r="C16" s="1312"/>
      <c r="D16" s="1312"/>
      <c r="E16" s="1313"/>
      <c r="F16" s="1609"/>
      <c r="G16" s="1609"/>
      <c r="H16" s="1610"/>
      <c r="I16" s="1618"/>
      <c r="J16" s="1317"/>
      <c r="K16" s="1627"/>
      <c r="L16" s="1324"/>
      <c r="M16" s="1319"/>
      <c r="N16" s="1320"/>
      <c r="O16" s="1321"/>
      <c r="P16" s="1322"/>
      <c r="Q16" s="1320"/>
      <c r="R16" s="1320"/>
      <c r="S16" s="1325"/>
    </row>
    <row r="17" spans="1:19" s="1323" customFormat="1" ht="12" customHeight="1" x14ac:dyDescent="0.2">
      <c r="A17" s="1616"/>
      <c r="B17" s="1617"/>
      <c r="C17" s="1312"/>
      <c r="D17" s="1312"/>
      <c r="E17" s="1313"/>
      <c r="F17" s="1609"/>
      <c r="G17" s="1609"/>
      <c r="H17" s="1610"/>
      <c r="I17" s="1618"/>
      <c r="J17" s="1317"/>
      <c r="K17" s="1627"/>
      <c r="L17" s="1324"/>
      <c r="M17" s="1319"/>
      <c r="N17" s="1320"/>
      <c r="O17" s="1321"/>
      <c r="P17" s="1322"/>
      <c r="Q17" s="1320"/>
      <c r="R17" s="1320"/>
      <c r="S17" s="1325"/>
    </row>
    <row r="18" spans="1:19" s="1323" customFormat="1" ht="12" customHeight="1" x14ac:dyDescent="0.2">
      <c r="A18" s="1616"/>
      <c r="B18" s="1617"/>
      <c r="C18" s="1312"/>
      <c r="D18" s="1312"/>
      <c r="E18" s="1313"/>
      <c r="F18" s="1609"/>
      <c r="G18" s="1609"/>
      <c r="H18" s="1610"/>
      <c r="I18" s="1618"/>
      <c r="J18" s="1317"/>
      <c r="K18" s="1627"/>
      <c r="L18" s="1324"/>
      <c r="M18" s="1319"/>
      <c r="N18" s="1320"/>
      <c r="O18" s="1321"/>
      <c r="P18" s="1322"/>
      <c r="Q18" s="1320"/>
      <c r="R18" s="1320"/>
      <c r="S18" s="1325"/>
    </row>
    <row r="19" spans="1:19" s="1323" customFormat="1" ht="12" customHeight="1" x14ac:dyDescent="0.2">
      <c r="A19" s="1616"/>
      <c r="B19" s="1617"/>
      <c r="C19" s="1312"/>
      <c r="D19" s="1312"/>
      <c r="E19" s="1313"/>
      <c r="F19" s="1609"/>
      <c r="G19" s="1609"/>
      <c r="H19" s="1610"/>
      <c r="I19" s="1618"/>
      <c r="J19" s="1317"/>
      <c r="K19" s="1627"/>
      <c r="L19" s="1324"/>
      <c r="M19" s="1319"/>
      <c r="N19" s="1320"/>
      <c r="O19" s="1321"/>
      <c r="P19" s="1322"/>
      <c r="Q19" s="1320"/>
      <c r="R19" s="1320"/>
      <c r="S19" s="1325"/>
    </row>
    <row r="20" spans="1:19" s="1323" customFormat="1" ht="12" customHeight="1" x14ac:dyDescent="0.2">
      <c r="A20" s="1616"/>
      <c r="B20" s="1617"/>
      <c r="C20" s="1312"/>
      <c r="D20" s="1312"/>
      <c r="E20" s="1313"/>
      <c r="F20" s="1609"/>
      <c r="G20" s="1609"/>
      <c r="H20" s="1610"/>
      <c r="I20" s="1618"/>
      <c r="J20" s="1317"/>
      <c r="K20" s="1627"/>
      <c r="L20" s="1324"/>
      <c r="M20" s="1319"/>
      <c r="N20" s="1320"/>
      <c r="O20" s="1321"/>
      <c r="P20" s="1322"/>
      <c r="Q20" s="1320"/>
      <c r="R20" s="1320"/>
      <c r="S20" s="1325"/>
    </row>
    <row r="21" spans="1:19" s="1323" customFormat="1" ht="12" customHeight="1" x14ac:dyDescent="0.2">
      <c r="A21" s="1616"/>
      <c r="B21" s="1617"/>
      <c r="C21" s="1312"/>
      <c r="D21" s="1312"/>
      <c r="E21" s="1313"/>
      <c r="F21" s="1609"/>
      <c r="G21" s="1609"/>
      <c r="H21" s="1610"/>
      <c r="I21" s="1618"/>
      <c r="J21" s="1317"/>
      <c r="K21" s="1627"/>
      <c r="L21" s="1324"/>
      <c r="M21" s="1319"/>
      <c r="N21" s="1320"/>
      <c r="O21" s="1321"/>
      <c r="P21" s="1322"/>
      <c r="Q21" s="1320"/>
      <c r="R21" s="1320"/>
      <c r="S21" s="1619"/>
    </row>
    <row r="22" spans="1:19" s="1323" customFormat="1" ht="12" customHeight="1" x14ac:dyDescent="0.2">
      <c r="A22" s="1616"/>
      <c r="B22" s="1617"/>
      <c r="C22" s="1312"/>
      <c r="D22" s="1312"/>
      <c r="E22" s="1313"/>
      <c r="F22" s="1609"/>
      <c r="G22" s="1609"/>
      <c r="H22" s="1610"/>
      <c r="I22" s="1618"/>
      <c r="J22" s="1317"/>
      <c r="K22" s="1627"/>
      <c r="L22" s="1324"/>
      <c r="M22" s="1319"/>
      <c r="N22" s="1320"/>
      <c r="O22" s="1321"/>
      <c r="P22" s="1322"/>
      <c r="Q22" s="1320"/>
      <c r="R22" s="1320"/>
      <c r="S22" s="1619"/>
    </row>
    <row r="23" spans="1:19" s="1323" customFormat="1" ht="12" customHeight="1" x14ac:dyDescent="0.2">
      <c r="A23" s="1620"/>
      <c r="B23" s="1617"/>
      <c r="C23" s="1312"/>
      <c r="D23" s="1312"/>
      <c r="E23" s="1313"/>
      <c r="F23" s="1609"/>
      <c r="G23" s="1609"/>
      <c r="H23" s="1610"/>
      <c r="I23" s="1618"/>
      <c r="J23" s="1317"/>
      <c r="K23" s="1627"/>
      <c r="L23" s="1324"/>
      <c r="M23" s="1319"/>
      <c r="N23" s="1320"/>
      <c r="O23" s="1321"/>
      <c r="P23" s="1322"/>
      <c r="Q23" s="1320"/>
      <c r="R23" s="1320"/>
      <c r="S23" s="1619"/>
    </row>
    <row r="24" spans="1:19" s="1323" customFormat="1" ht="12" customHeight="1" x14ac:dyDescent="0.2">
      <c r="A24" s="1620"/>
      <c r="B24" s="1617"/>
      <c r="C24" s="1312"/>
      <c r="D24" s="1312"/>
      <c r="E24" s="1313"/>
      <c r="F24" s="1609"/>
      <c r="G24" s="1609"/>
      <c r="H24" s="1610"/>
      <c r="I24" s="1618"/>
      <c r="J24" s="1317"/>
      <c r="K24" s="1627"/>
      <c r="L24" s="1324"/>
      <c r="M24" s="1319"/>
      <c r="N24" s="1320"/>
      <c r="O24" s="1321"/>
      <c r="P24" s="1322"/>
      <c r="Q24" s="1320"/>
      <c r="R24" s="1320"/>
      <c r="S24" s="1619"/>
    </row>
    <row r="25" spans="1:19" s="1323" customFormat="1" ht="12" customHeight="1" x14ac:dyDescent="0.2">
      <c r="A25" s="1620"/>
      <c r="B25" s="1617"/>
      <c r="C25" s="1312"/>
      <c r="D25" s="1312"/>
      <c r="E25" s="1313"/>
      <c r="F25" s="1609"/>
      <c r="G25" s="1609"/>
      <c r="H25" s="1610"/>
      <c r="I25" s="1618"/>
      <c r="J25" s="1317"/>
      <c r="K25" s="1627"/>
      <c r="L25" s="1324"/>
      <c r="M25" s="1319"/>
      <c r="N25" s="1320"/>
      <c r="O25" s="1321"/>
      <c r="P25" s="1322"/>
      <c r="Q25" s="1320"/>
      <c r="R25" s="1320"/>
      <c r="S25" s="1619"/>
    </row>
    <row r="26" spans="1:19" s="1323" customFormat="1" ht="12" customHeight="1" x14ac:dyDescent="0.2">
      <c r="A26" s="1616"/>
      <c r="B26" s="1617"/>
      <c r="C26" s="1312"/>
      <c r="D26" s="1312"/>
      <c r="E26" s="1313"/>
      <c r="F26" s="1609"/>
      <c r="G26" s="1609"/>
      <c r="H26" s="1610"/>
      <c r="I26" s="1618"/>
      <c r="J26" s="1317"/>
      <c r="K26" s="1627"/>
      <c r="L26" s="1324"/>
      <c r="M26" s="1319"/>
      <c r="N26" s="1320"/>
      <c r="O26" s="1321"/>
      <c r="P26" s="1322"/>
      <c r="Q26" s="1320"/>
      <c r="R26" s="1320"/>
      <c r="S26" s="1619"/>
    </row>
    <row r="27" spans="1:19" s="1323" customFormat="1" ht="12" customHeight="1" x14ac:dyDescent="0.2">
      <c r="A27" s="1616"/>
      <c r="B27" s="1617"/>
      <c r="C27" s="1312"/>
      <c r="D27" s="1312"/>
      <c r="E27" s="1313"/>
      <c r="F27" s="1609"/>
      <c r="G27" s="1609"/>
      <c r="H27" s="1610"/>
      <c r="I27" s="1618"/>
      <c r="J27" s="1317"/>
      <c r="K27" s="1627"/>
      <c r="L27" s="1324"/>
      <c r="M27" s="1319"/>
      <c r="N27" s="1320"/>
      <c r="O27" s="1321"/>
      <c r="P27" s="1322"/>
      <c r="Q27" s="1320"/>
      <c r="R27" s="1320"/>
      <c r="S27" s="1619"/>
    </row>
    <row r="28" spans="1:19" s="1323" customFormat="1" ht="12" customHeight="1" x14ac:dyDescent="0.2">
      <c r="A28" s="1616"/>
      <c r="B28" s="1617"/>
      <c r="C28" s="1312"/>
      <c r="D28" s="1312"/>
      <c r="E28" s="1313"/>
      <c r="F28" s="1609"/>
      <c r="G28" s="1609"/>
      <c r="H28" s="1610"/>
      <c r="I28" s="1618"/>
      <c r="J28" s="1317"/>
      <c r="K28" s="1627"/>
      <c r="L28" s="1324"/>
      <c r="M28" s="1319"/>
      <c r="N28" s="1320"/>
      <c r="O28" s="1321"/>
      <c r="P28" s="1322"/>
      <c r="Q28" s="1320"/>
      <c r="R28" s="1320"/>
      <c r="S28" s="1619"/>
    </row>
    <row r="29" spans="1:19" s="1323" customFormat="1" ht="12" customHeight="1" x14ac:dyDescent="0.2">
      <c r="A29" s="1620"/>
      <c r="B29" s="1617"/>
      <c r="C29" s="1312"/>
      <c r="D29" s="1312"/>
      <c r="E29" s="1313"/>
      <c r="F29" s="1609"/>
      <c r="G29" s="1609"/>
      <c r="H29" s="1610"/>
      <c r="I29" s="1618"/>
      <c r="J29" s="1317"/>
      <c r="K29" s="1627"/>
      <c r="L29" s="1324"/>
      <c r="M29" s="1319"/>
      <c r="N29" s="1320"/>
      <c r="O29" s="1321"/>
      <c r="P29" s="1322"/>
      <c r="Q29" s="1320"/>
      <c r="R29" s="1320"/>
      <c r="S29" s="1619"/>
    </row>
    <row r="30" spans="1:19" s="1323" customFormat="1" ht="12" customHeight="1" x14ac:dyDescent="0.2">
      <c r="A30" s="1616"/>
      <c r="B30" s="1617"/>
      <c r="C30" s="1312"/>
      <c r="D30" s="1312"/>
      <c r="E30" s="1313"/>
      <c r="F30" s="1609"/>
      <c r="G30" s="1609"/>
      <c r="H30" s="1610"/>
      <c r="I30" s="1618"/>
      <c r="J30" s="1317"/>
      <c r="K30" s="1627"/>
      <c r="L30" s="1324"/>
      <c r="M30" s="1319"/>
      <c r="N30" s="1320"/>
      <c r="O30" s="1321"/>
      <c r="P30" s="1322"/>
      <c r="Q30" s="1320"/>
      <c r="R30" s="1320"/>
      <c r="S30" s="1619"/>
    </row>
    <row r="31" spans="1:19" s="1323" customFormat="1" ht="12" customHeight="1" x14ac:dyDescent="0.2">
      <c r="A31" s="1616"/>
      <c r="B31" s="1617"/>
      <c r="C31" s="1312"/>
      <c r="D31" s="1312"/>
      <c r="E31" s="1313"/>
      <c r="F31" s="1609"/>
      <c r="G31" s="1609"/>
      <c r="H31" s="1610"/>
      <c r="I31" s="1618"/>
      <c r="J31" s="1317"/>
      <c r="K31" s="1627"/>
      <c r="L31" s="1324"/>
      <c r="M31" s="1319"/>
      <c r="N31" s="1320"/>
      <c r="O31" s="1321"/>
      <c r="P31" s="1322"/>
      <c r="Q31" s="1320"/>
      <c r="R31" s="1320"/>
      <c r="S31" s="1619"/>
    </row>
    <row r="32" spans="1:19" s="1323" customFormat="1" ht="12" customHeight="1" x14ac:dyDescent="0.2">
      <c r="A32" s="1616"/>
      <c r="B32" s="1621"/>
      <c r="C32" s="1312"/>
      <c r="D32" s="1312"/>
      <c r="E32" s="1313"/>
      <c r="F32" s="1609"/>
      <c r="G32" s="1609"/>
      <c r="H32" s="1610"/>
      <c r="I32" s="1618"/>
      <c r="J32" s="1317"/>
      <c r="K32" s="1627"/>
      <c r="L32" s="1324"/>
      <c r="M32" s="1319"/>
      <c r="N32" s="1320"/>
      <c r="O32" s="1321"/>
      <c r="P32" s="1322"/>
      <c r="Q32" s="1320"/>
      <c r="R32" s="1320"/>
      <c r="S32" s="1619"/>
    </row>
    <row r="33" spans="1:19" s="1323" customFormat="1" ht="12" customHeight="1" x14ac:dyDescent="0.2">
      <c r="A33" s="1616"/>
      <c r="B33" s="1617"/>
      <c r="C33" s="1312"/>
      <c r="D33" s="1312"/>
      <c r="E33" s="1313"/>
      <c r="F33" s="1609"/>
      <c r="G33" s="1609"/>
      <c r="H33" s="1610"/>
      <c r="I33" s="1618"/>
      <c r="J33" s="1317"/>
      <c r="K33" s="1627"/>
      <c r="L33" s="1324"/>
      <c r="M33" s="1319"/>
      <c r="N33" s="1320"/>
      <c r="O33" s="1321"/>
      <c r="P33" s="1322"/>
      <c r="Q33" s="1320"/>
      <c r="R33" s="1320"/>
      <c r="S33" s="1619"/>
    </row>
    <row r="34" spans="1:19" s="1323" customFormat="1" ht="12" customHeight="1" x14ac:dyDescent="0.2">
      <c r="A34" s="1616"/>
      <c r="B34" s="1617"/>
      <c r="C34" s="1312"/>
      <c r="D34" s="1312"/>
      <c r="E34" s="1313"/>
      <c r="F34" s="1609"/>
      <c r="G34" s="1609"/>
      <c r="H34" s="1610"/>
      <c r="I34" s="1618"/>
      <c r="J34" s="1317"/>
      <c r="K34" s="1627"/>
      <c r="L34" s="1324"/>
      <c r="M34" s="1319"/>
      <c r="N34" s="1320"/>
      <c r="O34" s="1321"/>
      <c r="P34" s="1322"/>
      <c r="Q34" s="1320"/>
      <c r="R34" s="1320"/>
      <c r="S34" s="1619"/>
    </row>
    <row r="35" spans="1:19" s="1323" customFormat="1" ht="12" customHeight="1" x14ac:dyDescent="0.2">
      <c r="A35" s="1616"/>
      <c r="B35" s="1617"/>
      <c r="C35" s="1312"/>
      <c r="D35" s="1312"/>
      <c r="E35" s="1313"/>
      <c r="F35" s="1609"/>
      <c r="G35" s="1609"/>
      <c r="H35" s="1610"/>
      <c r="I35" s="1326"/>
      <c r="J35" s="1314"/>
      <c r="K35" s="1316"/>
      <c r="L35" s="1319"/>
      <c r="M35" s="1319"/>
      <c r="N35" s="1321"/>
      <c r="O35" s="1326"/>
      <c r="P35" s="1322"/>
      <c r="Q35" s="1321"/>
      <c r="R35" s="1321"/>
      <c r="S35" s="1619"/>
    </row>
    <row r="36" spans="1:19" s="1323" customFormat="1" ht="12" customHeight="1" x14ac:dyDescent="0.2">
      <c r="A36" s="1616"/>
      <c r="B36" s="1617"/>
      <c r="C36" s="1312"/>
      <c r="D36" s="1312"/>
      <c r="E36" s="1313"/>
      <c r="F36" s="1609"/>
      <c r="G36" s="1609"/>
      <c r="H36" s="1610"/>
      <c r="I36" s="1326"/>
      <c r="J36" s="1314"/>
      <c r="K36" s="1316"/>
      <c r="L36" s="1326"/>
      <c r="M36" s="1326"/>
      <c r="N36" s="1322"/>
      <c r="O36" s="1326"/>
      <c r="P36" s="1322"/>
      <c r="Q36" s="1322"/>
      <c r="R36" s="1322"/>
      <c r="S36" s="1619"/>
    </row>
    <row r="37" spans="1:19" s="1323" customFormat="1" ht="12" customHeight="1" x14ac:dyDescent="0.2">
      <c r="A37" s="1616"/>
      <c r="B37" s="1617"/>
      <c r="C37" s="1312"/>
      <c r="D37" s="1312"/>
      <c r="E37" s="1313"/>
      <c r="F37" s="1609"/>
      <c r="G37" s="1609"/>
      <c r="H37" s="1610"/>
      <c r="I37" s="1326"/>
      <c r="J37" s="1314"/>
      <c r="K37" s="1316"/>
      <c r="L37" s="1326"/>
      <c r="M37" s="1326"/>
      <c r="N37" s="1327"/>
      <c r="O37" s="1326"/>
      <c r="P37" s="1322"/>
      <c r="Q37" s="1327"/>
      <c r="R37" s="1327"/>
      <c r="S37" s="1619"/>
    </row>
    <row r="38" spans="1:19" s="1323" customFormat="1" ht="12" customHeight="1" x14ac:dyDescent="0.2">
      <c r="A38" s="1616"/>
      <c r="B38" s="1617"/>
      <c r="C38" s="1312"/>
      <c r="D38" s="1312"/>
      <c r="E38" s="1313"/>
      <c r="F38" s="1609"/>
      <c r="G38" s="1609"/>
      <c r="H38" s="1610"/>
      <c r="I38" s="1326"/>
      <c r="J38" s="1314"/>
      <c r="K38" s="1316"/>
      <c r="L38" s="1326"/>
      <c r="M38" s="1326"/>
      <c r="N38" s="1322"/>
      <c r="O38" s="1327"/>
      <c r="P38" s="1322"/>
      <c r="Q38" s="1322"/>
      <c r="R38" s="1322"/>
      <c r="S38" s="1619"/>
    </row>
    <row r="39" spans="1:19" s="1323" customFormat="1" ht="12" customHeight="1" x14ac:dyDescent="0.2">
      <c r="A39" s="1616"/>
      <c r="B39" s="1617"/>
      <c r="C39" s="1312"/>
      <c r="D39" s="1312"/>
      <c r="E39" s="1313"/>
      <c r="F39" s="1609"/>
      <c r="G39" s="1609"/>
      <c r="H39" s="1610"/>
      <c r="I39" s="1326"/>
      <c r="J39" s="1314"/>
      <c r="K39" s="1316"/>
      <c r="L39" s="1326"/>
      <c r="M39" s="1326"/>
      <c r="N39" s="1322"/>
      <c r="O39" s="1326"/>
      <c r="P39" s="1322"/>
      <c r="Q39" s="1322"/>
      <c r="R39" s="1322"/>
      <c r="S39" s="1619"/>
    </row>
    <row r="40" spans="1:19" s="1323" customFormat="1" ht="12" customHeight="1" x14ac:dyDescent="0.2">
      <c r="A40" s="1616"/>
      <c r="B40" s="1617"/>
      <c r="C40" s="1312"/>
      <c r="D40" s="1312"/>
      <c r="E40" s="1313"/>
      <c r="F40" s="1609"/>
      <c r="G40" s="1609"/>
      <c r="H40" s="1610"/>
      <c r="I40" s="1326"/>
      <c r="J40" s="1314"/>
      <c r="K40" s="1316"/>
      <c r="L40" s="1326"/>
      <c r="M40" s="1326"/>
      <c r="N40" s="1322"/>
      <c r="O40" s="1326"/>
      <c r="P40" s="1322"/>
      <c r="Q40" s="1322"/>
      <c r="R40" s="1322"/>
      <c r="S40" s="1619"/>
    </row>
    <row r="41" spans="1:19" s="1323" customFormat="1" ht="12" customHeight="1" x14ac:dyDescent="0.2">
      <c r="A41" s="1620"/>
      <c r="B41" s="1617"/>
      <c r="C41" s="1312"/>
      <c r="D41" s="1312"/>
      <c r="E41" s="1313"/>
      <c r="F41" s="1609"/>
      <c r="G41" s="1609"/>
      <c r="H41" s="1610"/>
      <c r="I41" s="1326"/>
      <c r="J41" s="1314"/>
      <c r="K41" s="1316"/>
      <c r="L41" s="1326"/>
      <c r="M41" s="1326"/>
      <c r="N41" s="1322"/>
      <c r="O41" s="1326"/>
      <c r="P41" s="1322"/>
      <c r="Q41" s="1322"/>
      <c r="R41" s="1322"/>
      <c r="S41" s="1619"/>
    </row>
    <row r="42" spans="1:19" s="1323" customFormat="1" ht="10.199999999999999" x14ac:dyDescent="0.2">
      <c r="A42" s="1311"/>
      <c r="B42" s="1311"/>
      <c r="C42" s="1312"/>
      <c r="D42" s="1312"/>
      <c r="E42" s="1313"/>
      <c r="F42" s="1314"/>
      <c r="G42" s="1315"/>
      <c r="H42" s="1610"/>
      <c r="I42" s="1326"/>
      <c r="J42" s="1314"/>
      <c r="K42" s="1316"/>
      <c r="L42" s="1326"/>
      <c r="M42" s="1326"/>
      <c r="N42" s="1322"/>
      <c r="O42" s="1326"/>
      <c r="P42" s="1326"/>
      <c r="Q42" s="1322"/>
      <c r="R42" s="1322"/>
      <c r="S42" s="1322"/>
    </row>
    <row r="43" spans="1:19" s="1323" customFormat="1" ht="10.199999999999999" x14ac:dyDescent="0.2">
      <c r="A43" s="1311"/>
      <c r="B43" s="1311"/>
      <c r="C43" s="1312"/>
      <c r="D43" s="1312"/>
      <c r="E43" s="1313"/>
      <c r="F43" s="1314"/>
      <c r="G43" s="1315"/>
      <c r="H43" s="1610"/>
      <c r="I43" s="1326"/>
      <c r="J43" s="1314"/>
      <c r="K43" s="1316"/>
      <c r="L43" s="1326"/>
      <c r="M43" s="1326"/>
      <c r="N43" s="1322"/>
      <c r="O43" s="1326"/>
      <c r="P43" s="1326"/>
      <c r="Q43" s="1322"/>
      <c r="R43" s="1322"/>
      <c r="S43" s="1322"/>
    </row>
    <row r="44" spans="1:19" s="1323" customFormat="1" ht="10.199999999999999" x14ac:dyDescent="0.2">
      <c r="A44" s="1311"/>
      <c r="B44" s="1311"/>
      <c r="C44" s="1312"/>
      <c r="D44" s="1312"/>
      <c r="E44" s="1313"/>
      <c r="F44" s="1314"/>
      <c r="G44" s="1315"/>
      <c r="H44" s="1610"/>
      <c r="I44" s="1326"/>
      <c r="J44" s="1314"/>
      <c r="K44" s="1316"/>
      <c r="L44" s="1326"/>
      <c r="M44" s="1326"/>
      <c r="N44" s="1322"/>
      <c r="O44" s="1326"/>
      <c r="P44" s="1326"/>
      <c r="Q44" s="1322"/>
      <c r="R44" s="1322"/>
      <c r="S44" s="1322"/>
    </row>
    <row r="45" spans="1:19" s="1323" customFormat="1" ht="10.199999999999999" x14ac:dyDescent="0.2">
      <c r="A45" s="1622"/>
      <c r="B45" s="1623"/>
      <c r="C45" s="1312"/>
      <c r="D45" s="1312"/>
      <c r="E45" s="1313"/>
      <c r="F45" s="1314"/>
      <c r="G45" s="1315"/>
      <c r="H45" s="1316"/>
      <c r="I45" s="1326"/>
      <c r="J45" s="1314"/>
      <c r="K45" s="1316"/>
      <c r="L45" s="1326"/>
      <c r="M45" s="1326"/>
      <c r="N45" s="1322"/>
      <c r="O45" s="1326"/>
      <c r="P45" s="1326"/>
      <c r="Q45" s="1322"/>
      <c r="R45" s="1322"/>
      <c r="S45" s="1322"/>
    </row>
    <row r="46" spans="1:19" s="51" customFormat="1" x14ac:dyDescent="0.25">
      <c r="C46" s="1328"/>
      <c r="D46" s="1328"/>
      <c r="H46" s="1307"/>
      <c r="K46" s="1307"/>
    </row>
    <row r="47" spans="1:19" s="51" customFormat="1" x14ac:dyDescent="0.25">
      <c r="C47" s="1328"/>
      <c r="D47" s="1328"/>
      <c r="H47" s="1307"/>
      <c r="K47" s="1307"/>
    </row>
    <row r="48" spans="1:19" s="51" customFormat="1" ht="14.25" customHeight="1" x14ac:dyDescent="0.25">
      <c r="B48" s="1816" t="s">
        <v>672</v>
      </c>
      <c r="C48" s="1818"/>
      <c r="D48" s="1819"/>
      <c r="E48" s="1819"/>
      <c r="F48" s="1820"/>
      <c r="G48" s="1307"/>
      <c r="H48" s="1307"/>
      <c r="K48" s="1307"/>
    </row>
    <row r="49" spans="2:19" s="51" customFormat="1" ht="14.25" customHeight="1" x14ac:dyDescent="0.25">
      <c r="B49" s="1817"/>
      <c r="C49" s="1821"/>
      <c r="D49" s="1822"/>
      <c r="E49" s="1822"/>
      <c r="F49" s="1823"/>
      <c r="G49" s="1307"/>
      <c r="H49" s="1307"/>
      <c r="K49" s="1307"/>
    </row>
    <row r="50" spans="2:19" s="51" customFormat="1" ht="14.4" thickBot="1" x14ac:dyDescent="0.3">
      <c r="C50" s="1328"/>
      <c r="D50" s="1328"/>
      <c r="H50" s="1307"/>
      <c r="K50" s="1307"/>
    </row>
    <row r="51" spans="2:19" s="51" customFormat="1" ht="14.4" thickBot="1" x14ac:dyDescent="0.3">
      <c r="B51" s="1824" t="s">
        <v>673</v>
      </c>
      <c r="C51" s="1801" t="s">
        <v>1778</v>
      </c>
      <c r="D51" s="1802"/>
      <c r="E51" s="1802"/>
      <c r="F51" s="1803"/>
      <c r="G51" s="1308"/>
      <c r="H51" s="1625"/>
      <c r="I51" s="1308"/>
      <c r="J51" s="1308"/>
      <c r="K51" s="1625"/>
      <c r="L51" s="1308"/>
      <c r="M51" s="1308"/>
      <c r="N51" s="1308"/>
      <c r="O51" s="1308"/>
      <c r="P51" s="1308"/>
      <c r="Q51" s="1308"/>
      <c r="R51" s="1308"/>
      <c r="S51" s="1308"/>
    </row>
    <row r="52" spans="2:19" s="51" customFormat="1" ht="14.4" thickBot="1" x14ac:dyDescent="0.3">
      <c r="B52" s="1825"/>
      <c r="C52" s="1801"/>
      <c r="D52" s="1802"/>
      <c r="E52" s="1802"/>
      <c r="F52" s="1803"/>
      <c r="G52" s="310"/>
      <c r="H52" s="1626"/>
      <c r="I52" s="310"/>
      <c r="J52" s="310"/>
      <c r="K52" s="1626"/>
      <c r="L52" s="310"/>
      <c r="M52" s="310"/>
      <c r="N52" s="310"/>
      <c r="O52" s="310"/>
      <c r="P52" s="310"/>
      <c r="Q52" s="310"/>
      <c r="R52" s="310"/>
      <c r="S52" s="310"/>
    </row>
    <row r="53" spans="2:19" s="51" customFormat="1" ht="14.4" thickBot="1" x14ac:dyDescent="0.3">
      <c r="B53" s="1826"/>
      <c r="C53" s="1801"/>
      <c r="D53" s="1802"/>
      <c r="E53" s="1802"/>
      <c r="F53" s="1803"/>
      <c r="G53" s="310"/>
      <c r="H53" s="1626"/>
      <c r="I53" s="310"/>
      <c r="J53" s="310"/>
      <c r="K53" s="1626"/>
      <c r="L53" s="310"/>
      <c r="M53" s="310"/>
      <c r="N53" s="310"/>
      <c r="O53" s="310"/>
      <c r="P53" s="310"/>
      <c r="Q53" s="310"/>
      <c r="R53" s="310"/>
      <c r="S53" s="310"/>
    </row>
    <row r="54" spans="2:19" s="51" customFormat="1" ht="14.4" thickBot="1" x14ac:dyDescent="0.3">
      <c r="B54" s="1309" t="s">
        <v>674</v>
      </c>
      <c r="C54" s="1801" t="s">
        <v>1779</v>
      </c>
      <c r="D54" s="1802"/>
      <c r="E54" s="1802"/>
      <c r="F54" s="1803"/>
      <c r="G54" s="310"/>
      <c r="H54" s="1626"/>
      <c r="I54" s="310"/>
      <c r="J54" s="310"/>
      <c r="K54" s="1626"/>
      <c r="L54" s="310"/>
      <c r="M54" s="310"/>
      <c r="N54" s="310"/>
      <c r="O54" s="310"/>
      <c r="P54" s="310"/>
      <c r="Q54" s="310"/>
      <c r="R54" s="310"/>
      <c r="S54" s="310"/>
    </row>
    <row r="55" spans="2:19" s="51" customFormat="1" x14ac:dyDescent="0.25">
      <c r="C55" s="1328"/>
      <c r="D55" s="1328"/>
      <c r="H55" s="1307"/>
      <c r="K55" s="1307"/>
    </row>
    <row r="56" spans="2:19" s="51" customFormat="1" x14ac:dyDescent="0.25">
      <c r="B56" s="51" t="s">
        <v>675</v>
      </c>
      <c r="C56" s="1328"/>
      <c r="D56" s="1328"/>
      <c r="H56" s="1307"/>
      <c r="K56" s="1307"/>
    </row>
    <row r="57" spans="2:19" s="51" customFormat="1" x14ac:dyDescent="0.25">
      <c r="B57" s="51" t="s">
        <v>676</v>
      </c>
      <c r="C57" s="1328"/>
      <c r="D57" s="1328"/>
      <c r="H57" s="1307"/>
      <c r="K57" s="1307"/>
    </row>
    <row r="58" spans="2:19" s="51" customFormat="1" x14ac:dyDescent="0.25">
      <c r="B58" s="51" t="s">
        <v>677</v>
      </c>
      <c r="C58" s="1328"/>
      <c r="D58" s="1328"/>
      <c r="H58" s="1307"/>
      <c r="K58" s="1307"/>
    </row>
    <row r="59" spans="2:19" s="51" customFormat="1" x14ac:dyDescent="0.25">
      <c r="C59" s="1328"/>
      <c r="D59" s="1328"/>
      <c r="H59" s="1307"/>
      <c r="K59" s="1307"/>
    </row>
    <row r="60" spans="2:19" s="51" customFormat="1" x14ac:dyDescent="0.25">
      <c r="C60" s="1328"/>
      <c r="D60" s="1328"/>
      <c r="H60" s="1307"/>
      <c r="K60" s="1307"/>
    </row>
    <row r="61" spans="2:19" s="51" customFormat="1" x14ac:dyDescent="0.25">
      <c r="C61" s="1328"/>
      <c r="D61" s="1328"/>
      <c r="H61" s="1307"/>
      <c r="K61" s="1307"/>
    </row>
    <row r="90" spans="2:3" x14ac:dyDescent="0.25">
      <c r="B90" s="313" t="s">
        <v>687</v>
      </c>
      <c r="C90" s="316" t="s">
        <v>688</v>
      </c>
    </row>
    <row r="91" spans="2:3" x14ac:dyDescent="0.25">
      <c r="B91" s="313" t="s">
        <v>689</v>
      </c>
      <c r="C91" s="316" t="e">
        <f>+#REF!</f>
        <v>#REF!</v>
      </c>
    </row>
    <row r="92" spans="2:3" x14ac:dyDescent="0.25">
      <c r="B92" s="313" t="s">
        <v>690</v>
      </c>
      <c r="C92" s="316" t="e">
        <f>+#REF!</f>
        <v>#REF!</v>
      </c>
    </row>
  </sheetData>
  <mergeCells count="12">
    <mergeCell ref="C54:F54"/>
    <mergeCell ref="B1:B2"/>
    <mergeCell ref="C4:D4"/>
    <mergeCell ref="C5:H5"/>
    <mergeCell ref="C6:D6"/>
    <mergeCell ref="C7:D7"/>
    <mergeCell ref="C1:R2"/>
    <mergeCell ref="J10:R10"/>
    <mergeCell ref="B48:B49"/>
    <mergeCell ref="C48:F49"/>
    <mergeCell ref="B51:B53"/>
    <mergeCell ref="C51:F53"/>
  </mergeCells>
  <conditionalFormatting sqref="G51:S54">
    <cfRule type="cellIs" dxfId="189" priority="13" operator="equal">
      <formula>"INEXISTENTE"</formula>
    </cfRule>
  </conditionalFormatting>
  <conditionalFormatting sqref="K51:S54">
    <cfRule type="cellIs" dxfId="188" priority="14" operator="equal">
      <formula>"INEFICAZ"</formula>
    </cfRule>
    <cfRule type="cellIs" dxfId="187" priority="15" operator="equal">
      <formula>"CON DEFICIENCIAS"</formula>
    </cfRule>
    <cfRule type="cellIs" dxfId="186" priority="16" operator="equal">
      <formula>"EFICAZ"</formula>
    </cfRule>
    <cfRule type="cellIs" dxfId="185" priority="17" operator="equal">
      <formula>"CRÍTICO"</formula>
    </cfRule>
    <cfRule type="cellIs" dxfId="184" priority="18" operator="equal">
      <formula>"ALTO"</formula>
    </cfRule>
    <cfRule type="cellIs" dxfId="183" priority="19" operator="equal">
      <formula>"MEDIO"</formula>
    </cfRule>
    <cfRule type="cellIs" dxfId="182" priority="20" operator="equal">
      <formula>"BAJO"</formula>
    </cfRule>
  </conditionalFormatting>
  <conditionalFormatting sqref="G51:S54">
    <cfRule type="cellIs" dxfId="181" priority="22" operator="equal">
      <formula>"INADECUADO"</formula>
    </cfRule>
    <cfRule type="cellIs" dxfId="180" priority="23" operator="equal">
      <formula>"PARCIALMENTE ADECUADO"</formula>
    </cfRule>
    <cfRule type="cellIs" dxfId="179" priority="24" operator="equal">
      <formula>"ADECUADO"</formula>
    </cfRule>
    <cfRule type="cellIs" dxfId="178" priority="25" operator="equal">
      <formula>"ERROR"</formula>
    </cfRule>
  </conditionalFormatting>
  <conditionalFormatting sqref="C1">
    <cfRule type="cellIs" dxfId="177" priority="1" operator="equal">
      <formula>"ERROR"</formula>
    </cfRule>
  </conditionalFormatting>
  <conditionalFormatting sqref="S2">
    <cfRule type="cellIs" dxfId="176" priority="3" operator="equal">
      <formula>"INADECUADO"</formula>
    </cfRule>
    <cfRule type="cellIs" dxfId="175" priority="4" operator="equal">
      <formula>"PARCIALMENTE ADECUADO"</formula>
    </cfRule>
    <cfRule type="cellIs" dxfId="174" priority="5" operator="equal">
      <formula>"ADECUADO"</formula>
    </cfRule>
    <cfRule type="cellIs" dxfId="173" priority="6" operator="equal">
      <formula>"ERROR"</formula>
    </cfRule>
  </conditionalFormatting>
  <conditionalFormatting sqref="S2">
    <cfRule type="cellIs" dxfId="172" priority="2" operator="equal">
      <formula>"INEXISTENTE"</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9"/>
  <sheetViews>
    <sheetView topLeftCell="B57" zoomScaleNormal="100" workbookViewId="0">
      <selection activeCell="D72" sqref="D72"/>
    </sheetView>
  </sheetViews>
  <sheetFormatPr baseColWidth="10" defaultColWidth="11.44140625" defaultRowHeight="13.2" x14ac:dyDescent="0.3"/>
  <cols>
    <col min="1" max="1" width="3.44140625" style="271" customWidth="1"/>
    <col min="2" max="2" width="23.6640625" style="271" customWidth="1"/>
    <col min="3" max="3" width="22.44140625" style="271" customWidth="1"/>
    <col min="4" max="4" width="29.6640625" style="271" customWidth="1"/>
    <col min="5" max="5" width="24" style="271" customWidth="1"/>
    <col min="6" max="6" width="28.44140625" style="271" customWidth="1"/>
    <col min="7" max="7" width="22.44140625" style="271" customWidth="1"/>
    <col min="8" max="8" width="18.109375" style="271" customWidth="1"/>
    <col min="9" max="9" width="18.6640625" style="271" customWidth="1"/>
    <col min="10" max="10" width="18.44140625" style="271" customWidth="1"/>
    <col min="11" max="12" width="23.44140625" style="271" customWidth="1"/>
    <col min="13" max="13" width="16.6640625" style="271" customWidth="1"/>
    <col min="14" max="14" width="21.6640625" style="271" customWidth="1"/>
    <col min="15" max="256" width="11.44140625" style="271"/>
    <col min="257" max="257" width="3.44140625" style="271" customWidth="1"/>
    <col min="258" max="258" width="23.6640625" style="271" customWidth="1"/>
    <col min="259" max="259" width="22.44140625" style="271" customWidth="1"/>
    <col min="260" max="260" width="25" style="271" customWidth="1"/>
    <col min="261" max="261" width="24" style="271" customWidth="1"/>
    <col min="262" max="262" width="28.44140625" style="271" customWidth="1"/>
    <col min="263" max="263" width="20.44140625" style="271" customWidth="1"/>
    <col min="264" max="264" width="18.109375" style="271" customWidth="1"/>
    <col min="265" max="265" width="18.6640625" style="271" customWidth="1"/>
    <col min="266" max="266" width="18.44140625" style="271" customWidth="1"/>
    <col min="267" max="267" width="19.33203125" style="271" customWidth="1"/>
    <col min="268" max="268" width="23.44140625" style="271" customWidth="1"/>
    <col min="269" max="269" width="16.6640625" style="271" customWidth="1"/>
    <col min="270" max="270" width="21.6640625" style="271" customWidth="1"/>
    <col min="271" max="512" width="11.44140625" style="271"/>
    <col min="513" max="513" width="3.44140625" style="271" customWidth="1"/>
    <col min="514" max="514" width="23.6640625" style="271" customWidth="1"/>
    <col min="515" max="515" width="22.44140625" style="271" customWidth="1"/>
    <col min="516" max="516" width="25" style="271" customWidth="1"/>
    <col min="517" max="517" width="24" style="271" customWidth="1"/>
    <col min="518" max="518" width="28.44140625" style="271" customWidth="1"/>
    <col min="519" max="519" width="20.44140625" style="271" customWidth="1"/>
    <col min="520" max="520" width="18.109375" style="271" customWidth="1"/>
    <col min="521" max="521" width="18.6640625" style="271" customWidth="1"/>
    <col min="522" max="522" width="18.44140625" style="271" customWidth="1"/>
    <col min="523" max="523" width="19.33203125" style="271" customWidth="1"/>
    <col min="524" max="524" width="23.44140625" style="271" customWidth="1"/>
    <col min="525" max="525" width="16.6640625" style="271" customWidth="1"/>
    <col min="526" max="526" width="21.6640625" style="271" customWidth="1"/>
    <col min="527" max="768" width="11.44140625" style="271"/>
    <col min="769" max="769" width="3.44140625" style="271" customWidth="1"/>
    <col min="770" max="770" width="23.6640625" style="271" customWidth="1"/>
    <col min="771" max="771" width="22.44140625" style="271" customWidth="1"/>
    <col min="772" max="772" width="25" style="271" customWidth="1"/>
    <col min="773" max="773" width="24" style="271" customWidth="1"/>
    <col min="774" max="774" width="28.44140625" style="271" customWidth="1"/>
    <col min="775" max="775" width="20.44140625" style="271" customWidth="1"/>
    <col min="776" max="776" width="18.109375" style="271" customWidth="1"/>
    <col min="777" max="777" width="18.6640625" style="271" customWidth="1"/>
    <col min="778" max="778" width="18.44140625" style="271" customWidth="1"/>
    <col min="779" max="779" width="19.33203125" style="271" customWidth="1"/>
    <col min="780" max="780" width="23.44140625" style="271" customWidth="1"/>
    <col min="781" max="781" width="16.6640625" style="271" customWidth="1"/>
    <col min="782" max="782" width="21.6640625" style="271" customWidth="1"/>
    <col min="783" max="1024" width="11.44140625" style="271"/>
    <col min="1025" max="1025" width="3.44140625" style="271" customWidth="1"/>
    <col min="1026" max="1026" width="23.6640625" style="271" customWidth="1"/>
    <col min="1027" max="1027" width="22.44140625" style="271" customWidth="1"/>
    <col min="1028" max="1028" width="25" style="271" customWidth="1"/>
    <col min="1029" max="1029" width="24" style="271" customWidth="1"/>
    <col min="1030" max="1030" width="28.44140625" style="271" customWidth="1"/>
    <col min="1031" max="1031" width="20.44140625" style="271" customWidth="1"/>
    <col min="1032" max="1032" width="18.109375" style="271" customWidth="1"/>
    <col min="1033" max="1033" width="18.6640625" style="271" customWidth="1"/>
    <col min="1034" max="1034" width="18.44140625" style="271" customWidth="1"/>
    <col min="1035" max="1035" width="19.33203125" style="271" customWidth="1"/>
    <col min="1036" max="1036" width="23.44140625" style="271" customWidth="1"/>
    <col min="1037" max="1037" width="16.6640625" style="271" customWidth="1"/>
    <col min="1038" max="1038" width="21.6640625" style="271" customWidth="1"/>
    <col min="1039" max="1280" width="11.44140625" style="271"/>
    <col min="1281" max="1281" width="3.44140625" style="271" customWidth="1"/>
    <col min="1282" max="1282" width="23.6640625" style="271" customWidth="1"/>
    <col min="1283" max="1283" width="22.44140625" style="271" customWidth="1"/>
    <col min="1284" max="1284" width="25" style="271" customWidth="1"/>
    <col min="1285" max="1285" width="24" style="271" customWidth="1"/>
    <col min="1286" max="1286" width="28.44140625" style="271" customWidth="1"/>
    <col min="1287" max="1287" width="20.44140625" style="271" customWidth="1"/>
    <col min="1288" max="1288" width="18.109375" style="271" customWidth="1"/>
    <col min="1289" max="1289" width="18.6640625" style="271" customWidth="1"/>
    <col min="1290" max="1290" width="18.44140625" style="271" customWidth="1"/>
    <col min="1291" max="1291" width="19.33203125" style="271" customWidth="1"/>
    <col min="1292" max="1292" width="23.44140625" style="271" customWidth="1"/>
    <col min="1293" max="1293" width="16.6640625" style="271" customWidth="1"/>
    <col min="1294" max="1294" width="21.6640625" style="271" customWidth="1"/>
    <col min="1295" max="1536" width="11.44140625" style="271"/>
    <col min="1537" max="1537" width="3.44140625" style="271" customWidth="1"/>
    <col min="1538" max="1538" width="23.6640625" style="271" customWidth="1"/>
    <col min="1539" max="1539" width="22.44140625" style="271" customWidth="1"/>
    <col min="1540" max="1540" width="25" style="271" customWidth="1"/>
    <col min="1541" max="1541" width="24" style="271" customWidth="1"/>
    <col min="1542" max="1542" width="28.44140625" style="271" customWidth="1"/>
    <col min="1543" max="1543" width="20.44140625" style="271" customWidth="1"/>
    <col min="1544" max="1544" width="18.109375" style="271" customWidth="1"/>
    <col min="1545" max="1545" width="18.6640625" style="271" customWidth="1"/>
    <col min="1546" max="1546" width="18.44140625" style="271" customWidth="1"/>
    <col min="1547" max="1547" width="19.33203125" style="271" customWidth="1"/>
    <col min="1548" max="1548" width="23.44140625" style="271" customWidth="1"/>
    <col min="1549" max="1549" width="16.6640625" style="271" customWidth="1"/>
    <col min="1550" max="1550" width="21.6640625" style="271" customWidth="1"/>
    <col min="1551" max="1792" width="11.44140625" style="271"/>
    <col min="1793" max="1793" width="3.44140625" style="271" customWidth="1"/>
    <col min="1794" max="1794" width="23.6640625" style="271" customWidth="1"/>
    <col min="1795" max="1795" width="22.44140625" style="271" customWidth="1"/>
    <col min="1796" max="1796" width="25" style="271" customWidth="1"/>
    <col min="1797" max="1797" width="24" style="271" customWidth="1"/>
    <col min="1798" max="1798" width="28.44140625" style="271" customWidth="1"/>
    <col min="1799" max="1799" width="20.44140625" style="271" customWidth="1"/>
    <col min="1800" max="1800" width="18.109375" style="271" customWidth="1"/>
    <col min="1801" max="1801" width="18.6640625" style="271" customWidth="1"/>
    <col min="1802" max="1802" width="18.44140625" style="271" customWidth="1"/>
    <col min="1803" max="1803" width="19.33203125" style="271" customWidth="1"/>
    <col min="1804" max="1804" width="23.44140625" style="271" customWidth="1"/>
    <col min="1805" max="1805" width="16.6640625" style="271" customWidth="1"/>
    <col min="1806" max="1806" width="21.6640625" style="271" customWidth="1"/>
    <col min="1807" max="2048" width="11.44140625" style="271"/>
    <col min="2049" max="2049" width="3.44140625" style="271" customWidth="1"/>
    <col min="2050" max="2050" width="23.6640625" style="271" customWidth="1"/>
    <col min="2051" max="2051" width="22.44140625" style="271" customWidth="1"/>
    <col min="2052" max="2052" width="25" style="271" customWidth="1"/>
    <col min="2053" max="2053" width="24" style="271" customWidth="1"/>
    <col min="2054" max="2054" width="28.44140625" style="271" customWidth="1"/>
    <col min="2055" max="2055" width="20.44140625" style="271" customWidth="1"/>
    <col min="2056" max="2056" width="18.109375" style="271" customWidth="1"/>
    <col min="2057" max="2057" width="18.6640625" style="271" customWidth="1"/>
    <col min="2058" max="2058" width="18.44140625" style="271" customWidth="1"/>
    <col min="2059" max="2059" width="19.33203125" style="271" customWidth="1"/>
    <col min="2060" max="2060" width="23.44140625" style="271" customWidth="1"/>
    <col min="2061" max="2061" width="16.6640625" style="271" customWidth="1"/>
    <col min="2062" max="2062" width="21.6640625" style="271" customWidth="1"/>
    <col min="2063" max="2304" width="11.44140625" style="271"/>
    <col min="2305" max="2305" width="3.44140625" style="271" customWidth="1"/>
    <col min="2306" max="2306" width="23.6640625" style="271" customWidth="1"/>
    <col min="2307" max="2307" width="22.44140625" style="271" customWidth="1"/>
    <col min="2308" max="2308" width="25" style="271" customWidth="1"/>
    <col min="2309" max="2309" width="24" style="271" customWidth="1"/>
    <col min="2310" max="2310" width="28.44140625" style="271" customWidth="1"/>
    <col min="2311" max="2311" width="20.44140625" style="271" customWidth="1"/>
    <col min="2312" max="2312" width="18.109375" style="271" customWidth="1"/>
    <col min="2313" max="2313" width="18.6640625" style="271" customWidth="1"/>
    <col min="2314" max="2314" width="18.44140625" style="271" customWidth="1"/>
    <col min="2315" max="2315" width="19.33203125" style="271" customWidth="1"/>
    <col min="2316" max="2316" width="23.44140625" style="271" customWidth="1"/>
    <col min="2317" max="2317" width="16.6640625" style="271" customWidth="1"/>
    <col min="2318" max="2318" width="21.6640625" style="271" customWidth="1"/>
    <col min="2319" max="2560" width="11.44140625" style="271"/>
    <col min="2561" max="2561" width="3.44140625" style="271" customWidth="1"/>
    <col min="2562" max="2562" width="23.6640625" style="271" customWidth="1"/>
    <col min="2563" max="2563" width="22.44140625" style="271" customWidth="1"/>
    <col min="2564" max="2564" width="25" style="271" customWidth="1"/>
    <col min="2565" max="2565" width="24" style="271" customWidth="1"/>
    <col min="2566" max="2566" width="28.44140625" style="271" customWidth="1"/>
    <col min="2567" max="2567" width="20.44140625" style="271" customWidth="1"/>
    <col min="2568" max="2568" width="18.109375" style="271" customWidth="1"/>
    <col min="2569" max="2569" width="18.6640625" style="271" customWidth="1"/>
    <col min="2570" max="2570" width="18.44140625" style="271" customWidth="1"/>
    <col min="2571" max="2571" width="19.33203125" style="271" customWidth="1"/>
    <col min="2572" max="2572" width="23.44140625" style="271" customWidth="1"/>
    <col min="2573" max="2573" width="16.6640625" style="271" customWidth="1"/>
    <col min="2574" max="2574" width="21.6640625" style="271" customWidth="1"/>
    <col min="2575" max="2816" width="11.44140625" style="271"/>
    <col min="2817" max="2817" width="3.44140625" style="271" customWidth="1"/>
    <col min="2818" max="2818" width="23.6640625" style="271" customWidth="1"/>
    <col min="2819" max="2819" width="22.44140625" style="271" customWidth="1"/>
    <col min="2820" max="2820" width="25" style="271" customWidth="1"/>
    <col min="2821" max="2821" width="24" style="271" customWidth="1"/>
    <col min="2822" max="2822" width="28.44140625" style="271" customWidth="1"/>
    <col min="2823" max="2823" width="20.44140625" style="271" customWidth="1"/>
    <col min="2824" max="2824" width="18.109375" style="271" customWidth="1"/>
    <col min="2825" max="2825" width="18.6640625" style="271" customWidth="1"/>
    <col min="2826" max="2826" width="18.44140625" style="271" customWidth="1"/>
    <col min="2827" max="2827" width="19.33203125" style="271" customWidth="1"/>
    <col min="2828" max="2828" width="23.44140625" style="271" customWidth="1"/>
    <col min="2829" max="2829" width="16.6640625" style="271" customWidth="1"/>
    <col min="2830" max="2830" width="21.6640625" style="271" customWidth="1"/>
    <col min="2831" max="3072" width="11.44140625" style="271"/>
    <col min="3073" max="3073" width="3.44140625" style="271" customWidth="1"/>
    <col min="3074" max="3074" width="23.6640625" style="271" customWidth="1"/>
    <col min="3075" max="3075" width="22.44140625" style="271" customWidth="1"/>
    <col min="3076" max="3076" width="25" style="271" customWidth="1"/>
    <col min="3077" max="3077" width="24" style="271" customWidth="1"/>
    <col min="3078" max="3078" width="28.44140625" style="271" customWidth="1"/>
    <col min="3079" max="3079" width="20.44140625" style="271" customWidth="1"/>
    <col min="3080" max="3080" width="18.109375" style="271" customWidth="1"/>
    <col min="3081" max="3081" width="18.6640625" style="271" customWidth="1"/>
    <col min="3082" max="3082" width="18.44140625" style="271" customWidth="1"/>
    <col min="3083" max="3083" width="19.33203125" style="271" customWidth="1"/>
    <col min="3084" max="3084" width="23.44140625" style="271" customWidth="1"/>
    <col min="3085" max="3085" width="16.6640625" style="271" customWidth="1"/>
    <col min="3086" max="3086" width="21.6640625" style="271" customWidth="1"/>
    <col min="3087" max="3328" width="11.44140625" style="271"/>
    <col min="3329" max="3329" width="3.44140625" style="271" customWidth="1"/>
    <col min="3330" max="3330" width="23.6640625" style="271" customWidth="1"/>
    <col min="3331" max="3331" width="22.44140625" style="271" customWidth="1"/>
    <col min="3332" max="3332" width="25" style="271" customWidth="1"/>
    <col min="3333" max="3333" width="24" style="271" customWidth="1"/>
    <col min="3334" max="3334" width="28.44140625" style="271" customWidth="1"/>
    <col min="3335" max="3335" width="20.44140625" style="271" customWidth="1"/>
    <col min="3336" max="3336" width="18.109375" style="271" customWidth="1"/>
    <col min="3337" max="3337" width="18.6640625" style="271" customWidth="1"/>
    <col min="3338" max="3338" width="18.44140625" style="271" customWidth="1"/>
    <col min="3339" max="3339" width="19.33203125" style="271" customWidth="1"/>
    <col min="3340" max="3340" width="23.44140625" style="271" customWidth="1"/>
    <col min="3341" max="3341" width="16.6640625" style="271" customWidth="1"/>
    <col min="3342" max="3342" width="21.6640625" style="271" customWidth="1"/>
    <col min="3343" max="3584" width="11.44140625" style="271"/>
    <col min="3585" max="3585" width="3.44140625" style="271" customWidth="1"/>
    <col min="3586" max="3586" width="23.6640625" style="271" customWidth="1"/>
    <col min="3587" max="3587" width="22.44140625" style="271" customWidth="1"/>
    <col min="3588" max="3588" width="25" style="271" customWidth="1"/>
    <col min="3589" max="3589" width="24" style="271" customWidth="1"/>
    <col min="3590" max="3590" width="28.44140625" style="271" customWidth="1"/>
    <col min="3591" max="3591" width="20.44140625" style="271" customWidth="1"/>
    <col min="3592" max="3592" width="18.109375" style="271" customWidth="1"/>
    <col min="3593" max="3593" width="18.6640625" style="271" customWidth="1"/>
    <col min="3594" max="3594" width="18.44140625" style="271" customWidth="1"/>
    <col min="3595" max="3595" width="19.33203125" style="271" customWidth="1"/>
    <col min="3596" max="3596" width="23.44140625" style="271" customWidth="1"/>
    <col min="3597" max="3597" width="16.6640625" style="271" customWidth="1"/>
    <col min="3598" max="3598" width="21.6640625" style="271" customWidth="1"/>
    <col min="3599" max="3840" width="11.44140625" style="271"/>
    <col min="3841" max="3841" width="3.44140625" style="271" customWidth="1"/>
    <col min="3842" max="3842" width="23.6640625" style="271" customWidth="1"/>
    <col min="3843" max="3843" width="22.44140625" style="271" customWidth="1"/>
    <col min="3844" max="3844" width="25" style="271" customWidth="1"/>
    <col min="3845" max="3845" width="24" style="271" customWidth="1"/>
    <col min="3846" max="3846" width="28.44140625" style="271" customWidth="1"/>
    <col min="3847" max="3847" width="20.44140625" style="271" customWidth="1"/>
    <col min="3848" max="3848" width="18.109375" style="271" customWidth="1"/>
    <col min="3849" max="3849" width="18.6640625" style="271" customWidth="1"/>
    <col min="3850" max="3850" width="18.44140625" style="271" customWidth="1"/>
    <col min="3851" max="3851" width="19.33203125" style="271" customWidth="1"/>
    <col min="3852" max="3852" width="23.44140625" style="271" customWidth="1"/>
    <col min="3853" max="3853" width="16.6640625" style="271" customWidth="1"/>
    <col min="3854" max="3854" width="21.6640625" style="271" customWidth="1"/>
    <col min="3855" max="4096" width="11.44140625" style="271"/>
    <col min="4097" max="4097" width="3.44140625" style="271" customWidth="1"/>
    <col min="4098" max="4098" width="23.6640625" style="271" customWidth="1"/>
    <col min="4099" max="4099" width="22.44140625" style="271" customWidth="1"/>
    <col min="4100" max="4100" width="25" style="271" customWidth="1"/>
    <col min="4101" max="4101" width="24" style="271" customWidth="1"/>
    <col min="4102" max="4102" width="28.44140625" style="271" customWidth="1"/>
    <col min="4103" max="4103" width="20.44140625" style="271" customWidth="1"/>
    <col min="4104" max="4104" width="18.109375" style="271" customWidth="1"/>
    <col min="4105" max="4105" width="18.6640625" style="271" customWidth="1"/>
    <col min="4106" max="4106" width="18.44140625" style="271" customWidth="1"/>
    <col min="4107" max="4107" width="19.33203125" style="271" customWidth="1"/>
    <col min="4108" max="4108" width="23.44140625" style="271" customWidth="1"/>
    <col min="4109" max="4109" width="16.6640625" style="271" customWidth="1"/>
    <col min="4110" max="4110" width="21.6640625" style="271" customWidth="1"/>
    <col min="4111" max="4352" width="11.44140625" style="271"/>
    <col min="4353" max="4353" width="3.44140625" style="271" customWidth="1"/>
    <col min="4354" max="4354" width="23.6640625" style="271" customWidth="1"/>
    <col min="4355" max="4355" width="22.44140625" style="271" customWidth="1"/>
    <col min="4356" max="4356" width="25" style="271" customWidth="1"/>
    <col min="4357" max="4357" width="24" style="271" customWidth="1"/>
    <col min="4358" max="4358" width="28.44140625" style="271" customWidth="1"/>
    <col min="4359" max="4359" width="20.44140625" style="271" customWidth="1"/>
    <col min="4360" max="4360" width="18.109375" style="271" customWidth="1"/>
    <col min="4361" max="4361" width="18.6640625" style="271" customWidth="1"/>
    <col min="4362" max="4362" width="18.44140625" style="271" customWidth="1"/>
    <col min="4363" max="4363" width="19.33203125" style="271" customWidth="1"/>
    <col min="4364" max="4364" width="23.44140625" style="271" customWidth="1"/>
    <col min="4365" max="4365" width="16.6640625" style="271" customWidth="1"/>
    <col min="4366" max="4366" width="21.6640625" style="271" customWidth="1"/>
    <col min="4367" max="4608" width="11.44140625" style="271"/>
    <col min="4609" max="4609" width="3.44140625" style="271" customWidth="1"/>
    <col min="4610" max="4610" width="23.6640625" style="271" customWidth="1"/>
    <col min="4611" max="4611" width="22.44140625" style="271" customWidth="1"/>
    <col min="4612" max="4612" width="25" style="271" customWidth="1"/>
    <col min="4613" max="4613" width="24" style="271" customWidth="1"/>
    <col min="4614" max="4614" width="28.44140625" style="271" customWidth="1"/>
    <col min="4615" max="4615" width="20.44140625" style="271" customWidth="1"/>
    <col min="4616" max="4616" width="18.109375" style="271" customWidth="1"/>
    <col min="4617" max="4617" width="18.6640625" style="271" customWidth="1"/>
    <col min="4618" max="4618" width="18.44140625" style="271" customWidth="1"/>
    <col min="4619" max="4619" width="19.33203125" style="271" customWidth="1"/>
    <col min="4620" max="4620" width="23.44140625" style="271" customWidth="1"/>
    <col min="4621" max="4621" width="16.6640625" style="271" customWidth="1"/>
    <col min="4622" max="4622" width="21.6640625" style="271" customWidth="1"/>
    <col min="4623" max="4864" width="11.44140625" style="271"/>
    <col min="4865" max="4865" width="3.44140625" style="271" customWidth="1"/>
    <col min="4866" max="4866" width="23.6640625" style="271" customWidth="1"/>
    <col min="4867" max="4867" width="22.44140625" style="271" customWidth="1"/>
    <col min="4868" max="4868" width="25" style="271" customWidth="1"/>
    <col min="4869" max="4869" width="24" style="271" customWidth="1"/>
    <col min="4870" max="4870" width="28.44140625" style="271" customWidth="1"/>
    <col min="4871" max="4871" width="20.44140625" style="271" customWidth="1"/>
    <col min="4872" max="4872" width="18.109375" style="271" customWidth="1"/>
    <col min="4873" max="4873" width="18.6640625" style="271" customWidth="1"/>
    <col min="4874" max="4874" width="18.44140625" style="271" customWidth="1"/>
    <col min="4875" max="4875" width="19.33203125" style="271" customWidth="1"/>
    <col min="4876" max="4876" width="23.44140625" style="271" customWidth="1"/>
    <col min="4877" max="4877" width="16.6640625" style="271" customWidth="1"/>
    <col min="4878" max="4878" width="21.6640625" style="271" customWidth="1"/>
    <col min="4879" max="5120" width="11.44140625" style="271"/>
    <col min="5121" max="5121" width="3.44140625" style="271" customWidth="1"/>
    <col min="5122" max="5122" width="23.6640625" style="271" customWidth="1"/>
    <col min="5123" max="5123" width="22.44140625" style="271" customWidth="1"/>
    <col min="5124" max="5124" width="25" style="271" customWidth="1"/>
    <col min="5125" max="5125" width="24" style="271" customWidth="1"/>
    <col min="5126" max="5126" width="28.44140625" style="271" customWidth="1"/>
    <col min="5127" max="5127" width="20.44140625" style="271" customWidth="1"/>
    <col min="5128" max="5128" width="18.109375" style="271" customWidth="1"/>
    <col min="5129" max="5129" width="18.6640625" style="271" customWidth="1"/>
    <col min="5130" max="5130" width="18.44140625" style="271" customWidth="1"/>
    <col min="5131" max="5131" width="19.33203125" style="271" customWidth="1"/>
    <col min="5132" max="5132" width="23.44140625" style="271" customWidth="1"/>
    <col min="5133" max="5133" width="16.6640625" style="271" customWidth="1"/>
    <col min="5134" max="5134" width="21.6640625" style="271" customWidth="1"/>
    <col min="5135" max="5376" width="11.44140625" style="271"/>
    <col min="5377" max="5377" width="3.44140625" style="271" customWidth="1"/>
    <col min="5378" max="5378" width="23.6640625" style="271" customWidth="1"/>
    <col min="5379" max="5379" width="22.44140625" style="271" customWidth="1"/>
    <col min="5380" max="5380" width="25" style="271" customWidth="1"/>
    <col min="5381" max="5381" width="24" style="271" customWidth="1"/>
    <col min="5382" max="5382" width="28.44140625" style="271" customWidth="1"/>
    <col min="5383" max="5383" width="20.44140625" style="271" customWidth="1"/>
    <col min="5384" max="5384" width="18.109375" style="271" customWidth="1"/>
    <col min="5385" max="5385" width="18.6640625" style="271" customWidth="1"/>
    <col min="5386" max="5386" width="18.44140625" style="271" customWidth="1"/>
    <col min="5387" max="5387" width="19.33203125" style="271" customWidth="1"/>
    <col min="5388" max="5388" width="23.44140625" style="271" customWidth="1"/>
    <col min="5389" max="5389" width="16.6640625" style="271" customWidth="1"/>
    <col min="5390" max="5390" width="21.6640625" style="271" customWidth="1"/>
    <col min="5391" max="5632" width="11.44140625" style="271"/>
    <col min="5633" max="5633" width="3.44140625" style="271" customWidth="1"/>
    <col min="5634" max="5634" width="23.6640625" style="271" customWidth="1"/>
    <col min="5635" max="5635" width="22.44140625" style="271" customWidth="1"/>
    <col min="5636" max="5636" width="25" style="271" customWidth="1"/>
    <col min="5637" max="5637" width="24" style="271" customWidth="1"/>
    <col min="5638" max="5638" width="28.44140625" style="271" customWidth="1"/>
    <col min="5639" max="5639" width="20.44140625" style="271" customWidth="1"/>
    <col min="5640" max="5640" width="18.109375" style="271" customWidth="1"/>
    <col min="5641" max="5641" width="18.6640625" style="271" customWidth="1"/>
    <col min="5642" max="5642" width="18.44140625" style="271" customWidth="1"/>
    <col min="5643" max="5643" width="19.33203125" style="271" customWidth="1"/>
    <col min="5644" max="5644" width="23.44140625" style="271" customWidth="1"/>
    <col min="5645" max="5645" width="16.6640625" style="271" customWidth="1"/>
    <col min="5646" max="5646" width="21.6640625" style="271" customWidth="1"/>
    <col min="5647" max="5888" width="11.44140625" style="271"/>
    <col min="5889" max="5889" width="3.44140625" style="271" customWidth="1"/>
    <col min="5890" max="5890" width="23.6640625" style="271" customWidth="1"/>
    <col min="5891" max="5891" width="22.44140625" style="271" customWidth="1"/>
    <col min="5892" max="5892" width="25" style="271" customWidth="1"/>
    <col min="5893" max="5893" width="24" style="271" customWidth="1"/>
    <col min="5894" max="5894" width="28.44140625" style="271" customWidth="1"/>
    <col min="5895" max="5895" width="20.44140625" style="271" customWidth="1"/>
    <col min="5896" max="5896" width="18.109375" style="271" customWidth="1"/>
    <col min="5897" max="5897" width="18.6640625" style="271" customWidth="1"/>
    <col min="5898" max="5898" width="18.44140625" style="271" customWidth="1"/>
    <col min="5899" max="5899" width="19.33203125" style="271" customWidth="1"/>
    <col min="5900" max="5900" width="23.44140625" style="271" customWidth="1"/>
    <col min="5901" max="5901" width="16.6640625" style="271" customWidth="1"/>
    <col min="5902" max="5902" width="21.6640625" style="271" customWidth="1"/>
    <col min="5903" max="6144" width="11.44140625" style="271"/>
    <col min="6145" max="6145" width="3.44140625" style="271" customWidth="1"/>
    <col min="6146" max="6146" width="23.6640625" style="271" customWidth="1"/>
    <col min="6147" max="6147" width="22.44140625" style="271" customWidth="1"/>
    <col min="6148" max="6148" width="25" style="271" customWidth="1"/>
    <col min="6149" max="6149" width="24" style="271" customWidth="1"/>
    <col min="6150" max="6150" width="28.44140625" style="271" customWidth="1"/>
    <col min="6151" max="6151" width="20.44140625" style="271" customWidth="1"/>
    <col min="6152" max="6152" width="18.109375" style="271" customWidth="1"/>
    <col min="6153" max="6153" width="18.6640625" style="271" customWidth="1"/>
    <col min="6154" max="6154" width="18.44140625" style="271" customWidth="1"/>
    <col min="6155" max="6155" width="19.33203125" style="271" customWidth="1"/>
    <col min="6156" max="6156" width="23.44140625" style="271" customWidth="1"/>
    <col min="6157" max="6157" width="16.6640625" style="271" customWidth="1"/>
    <col min="6158" max="6158" width="21.6640625" style="271" customWidth="1"/>
    <col min="6159" max="6400" width="11.44140625" style="271"/>
    <col min="6401" max="6401" width="3.44140625" style="271" customWidth="1"/>
    <col min="6402" max="6402" width="23.6640625" style="271" customWidth="1"/>
    <col min="6403" max="6403" width="22.44140625" style="271" customWidth="1"/>
    <col min="6404" max="6404" width="25" style="271" customWidth="1"/>
    <col min="6405" max="6405" width="24" style="271" customWidth="1"/>
    <col min="6406" max="6406" width="28.44140625" style="271" customWidth="1"/>
    <col min="6407" max="6407" width="20.44140625" style="271" customWidth="1"/>
    <col min="6408" max="6408" width="18.109375" style="271" customWidth="1"/>
    <col min="6409" max="6409" width="18.6640625" style="271" customWidth="1"/>
    <col min="6410" max="6410" width="18.44140625" style="271" customWidth="1"/>
    <col min="6411" max="6411" width="19.33203125" style="271" customWidth="1"/>
    <col min="6412" max="6412" width="23.44140625" style="271" customWidth="1"/>
    <col min="6413" max="6413" width="16.6640625" style="271" customWidth="1"/>
    <col min="6414" max="6414" width="21.6640625" style="271" customWidth="1"/>
    <col min="6415" max="6656" width="11.44140625" style="271"/>
    <col min="6657" max="6657" width="3.44140625" style="271" customWidth="1"/>
    <col min="6658" max="6658" width="23.6640625" style="271" customWidth="1"/>
    <col min="6659" max="6659" width="22.44140625" style="271" customWidth="1"/>
    <col min="6660" max="6660" width="25" style="271" customWidth="1"/>
    <col min="6661" max="6661" width="24" style="271" customWidth="1"/>
    <col min="6662" max="6662" width="28.44140625" style="271" customWidth="1"/>
    <col min="6663" max="6663" width="20.44140625" style="271" customWidth="1"/>
    <col min="6664" max="6664" width="18.109375" style="271" customWidth="1"/>
    <col min="6665" max="6665" width="18.6640625" style="271" customWidth="1"/>
    <col min="6666" max="6666" width="18.44140625" style="271" customWidth="1"/>
    <col min="6667" max="6667" width="19.33203125" style="271" customWidth="1"/>
    <col min="6668" max="6668" width="23.44140625" style="271" customWidth="1"/>
    <col min="6669" max="6669" width="16.6640625" style="271" customWidth="1"/>
    <col min="6670" max="6670" width="21.6640625" style="271" customWidth="1"/>
    <col min="6671" max="6912" width="11.44140625" style="271"/>
    <col min="6913" max="6913" width="3.44140625" style="271" customWidth="1"/>
    <col min="6914" max="6914" width="23.6640625" style="271" customWidth="1"/>
    <col min="6915" max="6915" width="22.44140625" style="271" customWidth="1"/>
    <col min="6916" max="6916" width="25" style="271" customWidth="1"/>
    <col min="6917" max="6917" width="24" style="271" customWidth="1"/>
    <col min="6918" max="6918" width="28.44140625" style="271" customWidth="1"/>
    <col min="6919" max="6919" width="20.44140625" style="271" customWidth="1"/>
    <col min="6920" max="6920" width="18.109375" style="271" customWidth="1"/>
    <col min="6921" max="6921" width="18.6640625" style="271" customWidth="1"/>
    <col min="6922" max="6922" width="18.44140625" style="271" customWidth="1"/>
    <col min="6923" max="6923" width="19.33203125" style="271" customWidth="1"/>
    <col min="6924" max="6924" width="23.44140625" style="271" customWidth="1"/>
    <col min="6925" max="6925" width="16.6640625" style="271" customWidth="1"/>
    <col min="6926" max="6926" width="21.6640625" style="271" customWidth="1"/>
    <col min="6927" max="7168" width="11.44140625" style="271"/>
    <col min="7169" max="7169" width="3.44140625" style="271" customWidth="1"/>
    <col min="7170" max="7170" width="23.6640625" style="271" customWidth="1"/>
    <col min="7171" max="7171" width="22.44140625" style="271" customWidth="1"/>
    <col min="7172" max="7172" width="25" style="271" customWidth="1"/>
    <col min="7173" max="7173" width="24" style="271" customWidth="1"/>
    <col min="7174" max="7174" width="28.44140625" style="271" customWidth="1"/>
    <col min="7175" max="7175" width="20.44140625" style="271" customWidth="1"/>
    <col min="7176" max="7176" width="18.109375" style="271" customWidth="1"/>
    <col min="7177" max="7177" width="18.6640625" style="271" customWidth="1"/>
    <col min="7178" max="7178" width="18.44140625" style="271" customWidth="1"/>
    <col min="7179" max="7179" width="19.33203125" style="271" customWidth="1"/>
    <col min="7180" max="7180" width="23.44140625" style="271" customWidth="1"/>
    <col min="7181" max="7181" width="16.6640625" style="271" customWidth="1"/>
    <col min="7182" max="7182" width="21.6640625" style="271" customWidth="1"/>
    <col min="7183" max="7424" width="11.44140625" style="271"/>
    <col min="7425" max="7425" width="3.44140625" style="271" customWidth="1"/>
    <col min="7426" max="7426" width="23.6640625" style="271" customWidth="1"/>
    <col min="7427" max="7427" width="22.44140625" style="271" customWidth="1"/>
    <col min="7428" max="7428" width="25" style="271" customWidth="1"/>
    <col min="7429" max="7429" width="24" style="271" customWidth="1"/>
    <col min="7430" max="7430" width="28.44140625" style="271" customWidth="1"/>
    <col min="7431" max="7431" width="20.44140625" style="271" customWidth="1"/>
    <col min="7432" max="7432" width="18.109375" style="271" customWidth="1"/>
    <col min="7433" max="7433" width="18.6640625" style="271" customWidth="1"/>
    <col min="7434" max="7434" width="18.44140625" style="271" customWidth="1"/>
    <col min="7435" max="7435" width="19.33203125" style="271" customWidth="1"/>
    <col min="7436" max="7436" width="23.44140625" style="271" customWidth="1"/>
    <col min="7437" max="7437" width="16.6640625" style="271" customWidth="1"/>
    <col min="7438" max="7438" width="21.6640625" style="271" customWidth="1"/>
    <col min="7439" max="7680" width="11.44140625" style="271"/>
    <col min="7681" max="7681" width="3.44140625" style="271" customWidth="1"/>
    <col min="7682" max="7682" width="23.6640625" style="271" customWidth="1"/>
    <col min="7683" max="7683" width="22.44140625" style="271" customWidth="1"/>
    <col min="7684" max="7684" width="25" style="271" customWidth="1"/>
    <col min="7685" max="7685" width="24" style="271" customWidth="1"/>
    <col min="7686" max="7686" width="28.44140625" style="271" customWidth="1"/>
    <col min="7687" max="7687" width="20.44140625" style="271" customWidth="1"/>
    <col min="7688" max="7688" width="18.109375" style="271" customWidth="1"/>
    <col min="7689" max="7689" width="18.6640625" style="271" customWidth="1"/>
    <col min="7690" max="7690" width="18.44140625" style="271" customWidth="1"/>
    <col min="7691" max="7691" width="19.33203125" style="271" customWidth="1"/>
    <col min="7692" max="7692" width="23.44140625" style="271" customWidth="1"/>
    <col min="7693" max="7693" width="16.6640625" style="271" customWidth="1"/>
    <col min="7694" max="7694" width="21.6640625" style="271" customWidth="1"/>
    <col min="7695" max="7936" width="11.44140625" style="271"/>
    <col min="7937" max="7937" width="3.44140625" style="271" customWidth="1"/>
    <col min="7938" max="7938" width="23.6640625" style="271" customWidth="1"/>
    <col min="7939" max="7939" width="22.44140625" style="271" customWidth="1"/>
    <col min="7940" max="7940" width="25" style="271" customWidth="1"/>
    <col min="7941" max="7941" width="24" style="271" customWidth="1"/>
    <col min="7942" max="7942" width="28.44140625" style="271" customWidth="1"/>
    <col min="7943" max="7943" width="20.44140625" style="271" customWidth="1"/>
    <col min="7944" max="7944" width="18.109375" style="271" customWidth="1"/>
    <col min="7945" max="7945" width="18.6640625" style="271" customWidth="1"/>
    <col min="7946" max="7946" width="18.44140625" style="271" customWidth="1"/>
    <col min="7947" max="7947" width="19.33203125" style="271" customWidth="1"/>
    <col min="7948" max="7948" width="23.44140625" style="271" customWidth="1"/>
    <col min="7949" max="7949" width="16.6640625" style="271" customWidth="1"/>
    <col min="7950" max="7950" width="21.6640625" style="271" customWidth="1"/>
    <col min="7951" max="8192" width="11.44140625" style="271"/>
    <col min="8193" max="8193" width="3.44140625" style="271" customWidth="1"/>
    <col min="8194" max="8194" width="23.6640625" style="271" customWidth="1"/>
    <col min="8195" max="8195" width="22.44140625" style="271" customWidth="1"/>
    <col min="8196" max="8196" width="25" style="271" customWidth="1"/>
    <col min="8197" max="8197" width="24" style="271" customWidth="1"/>
    <col min="8198" max="8198" width="28.44140625" style="271" customWidth="1"/>
    <col min="8199" max="8199" width="20.44140625" style="271" customWidth="1"/>
    <col min="8200" max="8200" width="18.109375" style="271" customWidth="1"/>
    <col min="8201" max="8201" width="18.6640625" style="271" customWidth="1"/>
    <col min="8202" max="8202" width="18.44140625" style="271" customWidth="1"/>
    <col min="8203" max="8203" width="19.33203125" style="271" customWidth="1"/>
    <col min="8204" max="8204" width="23.44140625" style="271" customWidth="1"/>
    <col min="8205" max="8205" width="16.6640625" style="271" customWidth="1"/>
    <col min="8206" max="8206" width="21.6640625" style="271" customWidth="1"/>
    <col min="8207" max="8448" width="11.44140625" style="271"/>
    <col min="8449" max="8449" width="3.44140625" style="271" customWidth="1"/>
    <col min="8450" max="8450" width="23.6640625" style="271" customWidth="1"/>
    <col min="8451" max="8451" width="22.44140625" style="271" customWidth="1"/>
    <col min="8452" max="8452" width="25" style="271" customWidth="1"/>
    <col min="8453" max="8453" width="24" style="271" customWidth="1"/>
    <col min="8454" max="8454" width="28.44140625" style="271" customWidth="1"/>
    <col min="8455" max="8455" width="20.44140625" style="271" customWidth="1"/>
    <col min="8456" max="8456" width="18.109375" style="271" customWidth="1"/>
    <col min="8457" max="8457" width="18.6640625" style="271" customWidth="1"/>
    <col min="8458" max="8458" width="18.44140625" style="271" customWidth="1"/>
    <col min="8459" max="8459" width="19.33203125" style="271" customWidth="1"/>
    <col min="8460" max="8460" width="23.44140625" style="271" customWidth="1"/>
    <col min="8461" max="8461" width="16.6640625" style="271" customWidth="1"/>
    <col min="8462" max="8462" width="21.6640625" style="271" customWidth="1"/>
    <col min="8463" max="8704" width="11.44140625" style="271"/>
    <col min="8705" max="8705" width="3.44140625" style="271" customWidth="1"/>
    <col min="8706" max="8706" width="23.6640625" style="271" customWidth="1"/>
    <col min="8707" max="8707" width="22.44140625" style="271" customWidth="1"/>
    <col min="8708" max="8708" width="25" style="271" customWidth="1"/>
    <col min="8709" max="8709" width="24" style="271" customWidth="1"/>
    <col min="8710" max="8710" width="28.44140625" style="271" customWidth="1"/>
    <col min="8711" max="8711" width="20.44140625" style="271" customWidth="1"/>
    <col min="8712" max="8712" width="18.109375" style="271" customWidth="1"/>
    <col min="8713" max="8713" width="18.6640625" style="271" customWidth="1"/>
    <col min="8714" max="8714" width="18.44140625" style="271" customWidth="1"/>
    <col min="8715" max="8715" width="19.33203125" style="271" customWidth="1"/>
    <col min="8716" max="8716" width="23.44140625" style="271" customWidth="1"/>
    <col min="8717" max="8717" width="16.6640625" style="271" customWidth="1"/>
    <col min="8718" max="8718" width="21.6640625" style="271" customWidth="1"/>
    <col min="8719" max="8960" width="11.44140625" style="271"/>
    <col min="8961" max="8961" width="3.44140625" style="271" customWidth="1"/>
    <col min="8962" max="8962" width="23.6640625" style="271" customWidth="1"/>
    <col min="8963" max="8963" width="22.44140625" style="271" customWidth="1"/>
    <col min="8964" max="8964" width="25" style="271" customWidth="1"/>
    <col min="8965" max="8965" width="24" style="271" customWidth="1"/>
    <col min="8966" max="8966" width="28.44140625" style="271" customWidth="1"/>
    <col min="8967" max="8967" width="20.44140625" style="271" customWidth="1"/>
    <col min="8968" max="8968" width="18.109375" style="271" customWidth="1"/>
    <col min="8969" max="8969" width="18.6640625" style="271" customWidth="1"/>
    <col min="8970" max="8970" width="18.44140625" style="271" customWidth="1"/>
    <col min="8971" max="8971" width="19.33203125" style="271" customWidth="1"/>
    <col min="8972" max="8972" width="23.44140625" style="271" customWidth="1"/>
    <col min="8973" max="8973" width="16.6640625" style="271" customWidth="1"/>
    <col min="8974" max="8974" width="21.6640625" style="271" customWidth="1"/>
    <col min="8975" max="9216" width="11.44140625" style="271"/>
    <col min="9217" max="9217" width="3.44140625" style="271" customWidth="1"/>
    <col min="9218" max="9218" width="23.6640625" style="271" customWidth="1"/>
    <col min="9219" max="9219" width="22.44140625" style="271" customWidth="1"/>
    <col min="9220" max="9220" width="25" style="271" customWidth="1"/>
    <col min="9221" max="9221" width="24" style="271" customWidth="1"/>
    <col min="9222" max="9222" width="28.44140625" style="271" customWidth="1"/>
    <col min="9223" max="9223" width="20.44140625" style="271" customWidth="1"/>
    <col min="9224" max="9224" width="18.109375" style="271" customWidth="1"/>
    <col min="9225" max="9225" width="18.6640625" style="271" customWidth="1"/>
    <col min="9226" max="9226" width="18.44140625" style="271" customWidth="1"/>
    <col min="9227" max="9227" width="19.33203125" style="271" customWidth="1"/>
    <col min="9228" max="9228" width="23.44140625" style="271" customWidth="1"/>
    <col min="9229" max="9229" width="16.6640625" style="271" customWidth="1"/>
    <col min="9230" max="9230" width="21.6640625" style="271" customWidth="1"/>
    <col min="9231" max="9472" width="11.44140625" style="271"/>
    <col min="9473" max="9473" width="3.44140625" style="271" customWidth="1"/>
    <col min="9474" max="9474" width="23.6640625" style="271" customWidth="1"/>
    <col min="9475" max="9475" width="22.44140625" style="271" customWidth="1"/>
    <col min="9476" max="9476" width="25" style="271" customWidth="1"/>
    <col min="9477" max="9477" width="24" style="271" customWidth="1"/>
    <col min="9478" max="9478" width="28.44140625" style="271" customWidth="1"/>
    <col min="9479" max="9479" width="20.44140625" style="271" customWidth="1"/>
    <col min="9480" max="9480" width="18.109375" style="271" customWidth="1"/>
    <col min="9481" max="9481" width="18.6640625" style="271" customWidth="1"/>
    <col min="9482" max="9482" width="18.44140625" style="271" customWidth="1"/>
    <col min="9483" max="9483" width="19.33203125" style="271" customWidth="1"/>
    <col min="9484" max="9484" width="23.44140625" style="271" customWidth="1"/>
    <col min="9485" max="9485" width="16.6640625" style="271" customWidth="1"/>
    <col min="9486" max="9486" width="21.6640625" style="271" customWidth="1"/>
    <col min="9487" max="9728" width="11.44140625" style="271"/>
    <col min="9729" max="9729" width="3.44140625" style="271" customWidth="1"/>
    <col min="9730" max="9730" width="23.6640625" style="271" customWidth="1"/>
    <col min="9731" max="9731" width="22.44140625" style="271" customWidth="1"/>
    <col min="9732" max="9732" width="25" style="271" customWidth="1"/>
    <col min="9733" max="9733" width="24" style="271" customWidth="1"/>
    <col min="9734" max="9734" width="28.44140625" style="271" customWidth="1"/>
    <col min="9735" max="9735" width="20.44140625" style="271" customWidth="1"/>
    <col min="9736" max="9736" width="18.109375" style="271" customWidth="1"/>
    <col min="9737" max="9737" width="18.6640625" style="271" customWidth="1"/>
    <col min="9738" max="9738" width="18.44140625" style="271" customWidth="1"/>
    <col min="9739" max="9739" width="19.33203125" style="271" customWidth="1"/>
    <col min="9740" max="9740" width="23.44140625" style="271" customWidth="1"/>
    <col min="9741" max="9741" width="16.6640625" style="271" customWidth="1"/>
    <col min="9742" max="9742" width="21.6640625" style="271" customWidth="1"/>
    <col min="9743" max="9984" width="11.44140625" style="271"/>
    <col min="9985" max="9985" width="3.44140625" style="271" customWidth="1"/>
    <col min="9986" max="9986" width="23.6640625" style="271" customWidth="1"/>
    <col min="9987" max="9987" width="22.44140625" style="271" customWidth="1"/>
    <col min="9988" max="9988" width="25" style="271" customWidth="1"/>
    <col min="9989" max="9989" width="24" style="271" customWidth="1"/>
    <col min="9990" max="9990" width="28.44140625" style="271" customWidth="1"/>
    <col min="9991" max="9991" width="20.44140625" style="271" customWidth="1"/>
    <col min="9992" max="9992" width="18.109375" style="271" customWidth="1"/>
    <col min="9993" max="9993" width="18.6640625" style="271" customWidth="1"/>
    <col min="9994" max="9994" width="18.44140625" style="271" customWidth="1"/>
    <col min="9995" max="9995" width="19.33203125" style="271" customWidth="1"/>
    <col min="9996" max="9996" width="23.44140625" style="271" customWidth="1"/>
    <col min="9997" max="9997" width="16.6640625" style="271" customWidth="1"/>
    <col min="9998" max="9998" width="21.6640625" style="271" customWidth="1"/>
    <col min="9999" max="10240" width="11.44140625" style="271"/>
    <col min="10241" max="10241" width="3.44140625" style="271" customWidth="1"/>
    <col min="10242" max="10242" width="23.6640625" style="271" customWidth="1"/>
    <col min="10243" max="10243" width="22.44140625" style="271" customWidth="1"/>
    <col min="10244" max="10244" width="25" style="271" customWidth="1"/>
    <col min="10245" max="10245" width="24" style="271" customWidth="1"/>
    <col min="10246" max="10246" width="28.44140625" style="271" customWidth="1"/>
    <col min="10247" max="10247" width="20.44140625" style="271" customWidth="1"/>
    <col min="10248" max="10248" width="18.109375" style="271" customWidth="1"/>
    <col min="10249" max="10249" width="18.6640625" style="271" customWidth="1"/>
    <col min="10250" max="10250" width="18.44140625" style="271" customWidth="1"/>
    <col min="10251" max="10251" width="19.33203125" style="271" customWidth="1"/>
    <col min="10252" max="10252" width="23.44140625" style="271" customWidth="1"/>
    <col min="10253" max="10253" width="16.6640625" style="271" customWidth="1"/>
    <col min="10254" max="10254" width="21.6640625" style="271" customWidth="1"/>
    <col min="10255" max="10496" width="11.44140625" style="271"/>
    <col min="10497" max="10497" width="3.44140625" style="271" customWidth="1"/>
    <col min="10498" max="10498" width="23.6640625" style="271" customWidth="1"/>
    <col min="10499" max="10499" width="22.44140625" style="271" customWidth="1"/>
    <col min="10500" max="10500" width="25" style="271" customWidth="1"/>
    <col min="10501" max="10501" width="24" style="271" customWidth="1"/>
    <col min="10502" max="10502" width="28.44140625" style="271" customWidth="1"/>
    <col min="10503" max="10503" width="20.44140625" style="271" customWidth="1"/>
    <col min="10504" max="10504" width="18.109375" style="271" customWidth="1"/>
    <col min="10505" max="10505" width="18.6640625" style="271" customWidth="1"/>
    <col min="10506" max="10506" width="18.44140625" style="271" customWidth="1"/>
    <col min="10507" max="10507" width="19.33203125" style="271" customWidth="1"/>
    <col min="10508" max="10508" width="23.44140625" style="271" customWidth="1"/>
    <col min="10509" max="10509" width="16.6640625" style="271" customWidth="1"/>
    <col min="10510" max="10510" width="21.6640625" style="271" customWidth="1"/>
    <col min="10511" max="10752" width="11.44140625" style="271"/>
    <col min="10753" max="10753" width="3.44140625" style="271" customWidth="1"/>
    <col min="10754" max="10754" width="23.6640625" style="271" customWidth="1"/>
    <col min="10755" max="10755" width="22.44140625" style="271" customWidth="1"/>
    <col min="10756" max="10756" width="25" style="271" customWidth="1"/>
    <col min="10757" max="10757" width="24" style="271" customWidth="1"/>
    <col min="10758" max="10758" width="28.44140625" style="271" customWidth="1"/>
    <col min="10759" max="10759" width="20.44140625" style="271" customWidth="1"/>
    <col min="10760" max="10760" width="18.109375" style="271" customWidth="1"/>
    <col min="10761" max="10761" width="18.6640625" style="271" customWidth="1"/>
    <col min="10762" max="10762" width="18.44140625" style="271" customWidth="1"/>
    <col min="10763" max="10763" width="19.33203125" style="271" customWidth="1"/>
    <col min="10764" max="10764" width="23.44140625" style="271" customWidth="1"/>
    <col min="10765" max="10765" width="16.6640625" style="271" customWidth="1"/>
    <col min="10766" max="10766" width="21.6640625" style="271" customWidth="1"/>
    <col min="10767" max="11008" width="11.44140625" style="271"/>
    <col min="11009" max="11009" width="3.44140625" style="271" customWidth="1"/>
    <col min="11010" max="11010" width="23.6640625" style="271" customWidth="1"/>
    <col min="11011" max="11011" width="22.44140625" style="271" customWidth="1"/>
    <col min="11012" max="11012" width="25" style="271" customWidth="1"/>
    <col min="11013" max="11013" width="24" style="271" customWidth="1"/>
    <col min="11014" max="11014" width="28.44140625" style="271" customWidth="1"/>
    <col min="11015" max="11015" width="20.44140625" style="271" customWidth="1"/>
    <col min="11016" max="11016" width="18.109375" style="271" customWidth="1"/>
    <col min="11017" max="11017" width="18.6640625" style="271" customWidth="1"/>
    <col min="11018" max="11018" width="18.44140625" style="271" customWidth="1"/>
    <col min="11019" max="11019" width="19.33203125" style="271" customWidth="1"/>
    <col min="11020" max="11020" width="23.44140625" style="271" customWidth="1"/>
    <col min="11021" max="11021" width="16.6640625" style="271" customWidth="1"/>
    <col min="11022" max="11022" width="21.6640625" style="271" customWidth="1"/>
    <col min="11023" max="11264" width="11.44140625" style="271"/>
    <col min="11265" max="11265" width="3.44140625" style="271" customWidth="1"/>
    <col min="11266" max="11266" width="23.6640625" style="271" customWidth="1"/>
    <col min="11267" max="11267" width="22.44140625" style="271" customWidth="1"/>
    <col min="11268" max="11268" width="25" style="271" customWidth="1"/>
    <col min="11269" max="11269" width="24" style="271" customWidth="1"/>
    <col min="11270" max="11270" width="28.44140625" style="271" customWidth="1"/>
    <col min="11271" max="11271" width="20.44140625" style="271" customWidth="1"/>
    <col min="11272" max="11272" width="18.109375" style="271" customWidth="1"/>
    <col min="11273" max="11273" width="18.6640625" style="271" customWidth="1"/>
    <col min="11274" max="11274" width="18.44140625" style="271" customWidth="1"/>
    <col min="11275" max="11275" width="19.33203125" style="271" customWidth="1"/>
    <col min="11276" max="11276" width="23.44140625" style="271" customWidth="1"/>
    <col min="11277" max="11277" width="16.6640625" style="271" customWidth="1"/>
    <col min="11278" max="11278" width="21.6640625" style="271" customWidth="1"/>
    <col min="11279" max="11520" width="11.44140625" style="271"/>
    <col min="11521" max="11521" width="3.44140625" style="271" customWidth="1"/>
    <col min="11522" max="11522" width="23.6640625" style="271" customWidth="1"/>
    <col min="11523" max="11523" width="22.44140625" style="271" customWidth="1"/>
    <col min="11524" max="11524" width="25" style="271" customWidth="1"/>
    <col min="11525" max="11525" width="24" style="271" customWidth="1"/>
    <col min="11526" max="11526" width="28.44140625" style="271" customWidth="1"/>
    <col min="11527" max="11527" width="20.44140625" style="271" customWidth="1"/>
    <col min="11528" max="11528" width="18.109375" style="271" customWidth="1"/>
    <col min="11529" max="11529" width="18.6640625" style="271" customWidth="1"/>
    <col min="11530" max="11530" width="18.44140625" style="271" customWidth="1"/>
    <col min="11531" max="11531" width="19.33203125" style="271" customWidth="1"/>
    <col min="11532" max="11532" width="23.44140625" style="271" customWidth="1"/>
    <col min="11533" max="11533" width="16.6640625" style="271" customWidth="1"/>
    <col min="11534" max="11534" width="21.6640625" style="271" customWidth="1"/>
    <col min="11535" max="11776" width="11.44140625" style="271"/>
    <col min="11777" max="11777" width="3.44140625" style="271" customWidth="1"/>
    <col min="11778" max="11778" width="23.6640625" style="271" customWidth="1"/>
    <col min="11779" max="11779" width="22.44140625" style="271" customWidth="1"/>
    <col min="11780" max="11780" width="25" style="271" customWidth="1"/>
    <col min="11781" max="11781" width="24" style="271" customWidth="1"/>
    <col min="11782" max="11782" width="28.44140625" style="271" customWidth="1"/>
    <col min="11783" max="11783" width="20.44140625" style="271" customWidth="1"/>
    <col min="11784" max="11784" width="18.109375" style="271" customWidth="1"/>
    <col min="11785" max="11785" width="18.6640625" style="271" customWidth="1"/>
    <col min="11786" max="11786" width="18.44140625" style="271" customWidth="1"/>
    <col min="11787" max="11787" width="19.33203125" style="271" customWidth="1"/>
    <col min="11788" max="11788" width="23.44140625" style="271" customWidth="1"/>
    <col min="11789" max="11789" width="16.6640625" style="271" customWidth="1"/>
    <col min="11790" max="11790" width="21.6640625" style="271" customWidth="1"/>
    <col min="11791" max="12032" width="11.44140625" style="271"/>
    <col min="12033" max="12033" width="3.44140625" style="271" customWidth="1"/>
    <col min="12034" max="12034" width="23.6640625" style="271" customWidth="1"/>
    <col min="12035" max="12035" width="22.44140625" style="271" customWidth="1"/>
    <col min="12036" max="12036" width="25" style="271" customWidth="1"/>
    <col min="12037" max="12037" width="24" style="271" customWidth="1"/>
    <col min="12038" max="12038" width="28.44140625" style="271" customWidth="1"/>
    <col min="12039" max="12039" width="20.44140625" style="271" customWidth="1"/>
    <col min="12040" max="12040" width="18.109375" style="271" customWidth="1"/>
    <col min="12041" max="12041" width="18.6640625" style="271" customWidth="1"/>
    <col min="12042" max="12042" width="18.44140625" style="271" customWidth="1"/>
    <col min="12043" max="12043" width="19.33203125" style="271" customWidth="1"/>
    <col min="12044" max="12044" width="23.44140625" style="271" customWidth="1"/>
    <col min="12045" max="12045" width="16.6640625" style="271" customWidth="1"/>
    <col min="12046" max="12046" width="21.6640625" style="271" customWidth="1"/>
    <col min="12047" max="12288" width="11.44140625" style="271"/>
    <col min="12289" max="12289" width="3.44140625" style="271" customWidth="1"/>
    <col min="12290" max="12290" width="23.6640625" style="271" customWidth="1"/>
    <col min="12291" max="12291" width="22.44140625" style="271" customWidth="1"/>
    <col min="12292" max="12292" width="25" style="271" customWidth="1"/>
    <col min="12293" max="12293" width="24" style="271" customWidth="1"/>
    <col min="12294" max="12294" width="28.44140625" style="271" customWidth="1"/>
    <col min="12295" max="12295" width="20.44140625" style="271" customWidth="1"/>
    <col min="12296" max="12296" width="18.109375" style="271" customWidth="1"/>
    <col min="12297" max="12297" width="18.6640625" style="271" customWidth="1"/>
    <col min="12298" max="12298" width="18.44140625" style="271" customWidth="1"/>
    <col min="12299" max="12299" width="19.33203125" style="271" customWidth="1"/>
    <col min="12300" max="12300" width="23.44140625" style="271" customWidth="1"/>
    <col min="12301" max="12301" width="16.6640625" style="271" customWidth="1"/>
    <col min="12302" max="12302" width="21.6640625" style="271" customWidth="1"/>
    <col min="12303" max="12544" width="11.44140625" style="271"/>
    <col min="12545" max="12545" width="3.44140625" style="271" customWidth="1"/>
    <col min="12546" max="12546" width="23.6640625" style="271" customWidth="1"/>
    <col min="12547" max="12547" width="22.44140625" style="271" customWidth="1"/>
    <col min="12548" max="12548" width="25" style="271" customWidth="1"/>
    <col min="12549" max="12549" width="24" style="271" customWidth="1"/>
    <col min="12550" max="12550" width="28.44140625" style="271" customWidth="1"/>
    <col min="12551" max="12551" width="20.44140625" style="271" customWidth="1"/>
    <col min="12552" max="12552" width="18.109375" style="271" customWidth="1"/>
    <col min="12553" max="12553" width="18.6640625" style="271" customWidth="1"/>
    <col min="12554" max="12554" width="18.44140625" style="271" customWidth="1"/>
    <col min="12555" max="12555" width="19.33203125" style="271" customWidth="1"/>
    <col min="12556" max="12556" width="23.44140625" style="271" customWidth="1"/>
    <col min="12557" max="12557" width="16.6640625" style="271" customWidth="1"/>
    <col min="12558" max="12558" width="21.6640625" style="271" customWidth="1"/>
    <col min="12559" max="12800" width="11.44140625" style="271"/>
    <col min="12801" max="12801" width="3.44140625" style="271" customWidth="1"/>
    <col min="12802" max="12802" width="23.6640625" style="271" customWidth="1"/>
    <col min="12803" max="12803" width="22.44140625" style="271" customWidth="1"/>
    <col min="12804" max="12804" width="25" style="271" customWidth="1"/>
    <col min="12805" max="12805" width="24" style="271" customWidth="1"/>
    <col min="12806" max="12806" width="28.44140625" style="271" customWidth="1"/>
    <col min="12807" max="12807" width="20.44140625" style="271" customWidth="1"/>
    <col min="12808" max="12808" width="18.109375" style="271" customWidth="1"/>
    <col min="12809" max="12809" width="18.6640625" style="271" customWidth="1"/>
    <col min="12810" max="12810" width="18.44140625" style="271" customWidth="1"/>
    <col min="12811" max="12811" width="19.33203125" style="271" customWidth="1"/>
    <col min="12812" max="12812" width="23.44140625" style="271" customWidth="1"/>
    <col min="12813" max="12813" width="16.6640625" style="271" customWidth="1"/>
    <col min="12814" max="12814" width="21.6640625" style="271" customWidth="1"/>
    <col min="12815" max="13056" width="11.44140625" style="271"/>
    <col min="13057" max="13057" width="3.44140625" style="271" customWidth="1"/>
    <col min="13058" max="13058" width="23.6640625" style="271" customWidth="1"/>
    <col min="13059" max="13059" width="22.44140625" style="271" customWidth="1"/>
    <col min="13060" max="13060" width="25" style="271" customWidth="1"/>
    <col min="13061" max="13061" width="24" style="271" customWidth="1"/>
    <col min="13062" max="13062" width="28.44140625" style="271" customWidth="1"/>
    <col min="13063" max="13063" width="20.44140625" style="271" customWidth="1"/>
    <col min="13064" max="13064" width="18.109375" style="271" customWidth="1"/>
    <col min="13065" max="13065" width="18.6640625" style="271" customWidth="1"/>
    <col min="13066" max="13066" width="18.44140625" style="271" customWidth="1"/>
    <col min="13067" max="13067" width="19.33203125" style="271" customWidth="1"/>
    <col min="13068" max="13068" width="23.44140625" style="271" customWidth="1"/>
    <col min="13069" max="13069" width="16.6640625" style="271" customWidth="1"/>
    <col min="13070" max="13070" width="21.6640625" style="271" customWidth="1"/>
    <col min="13071" max="13312" width="11.44140625" style="271"/>
    <col min="13313" max="13313" width="3.44140625" style="271" customWidth="1"/>
    <col min="13314" max="13314" width="23.6640625" style="271" customWidth="1"/>
    <col min="13315" max="13315" width="22.44140625" style="271" customWidth="1"/>
    <col min="13316" max="13316" width="25" style="271" customWidth="1"/>
    <col min="13317" max="13317" width="24" style="271" customWidth="1"/>
    <col min="13318" max="13318" width="28.44140625" style="271" customWidth="1"/>
    <col min="13319" max="13319" width="20.44140625" style="271" customWidth="1"/>
    <col min="13320" max="13320" width="18.109375" style="271" customWidth="1"/>
    <col min="13321" max="13321" width="18.6640625" style="271" customWidth="1"/>
    <col min="13322" max="13322" width="18.44140625" style="271" customWidth="1"/>
    <col min="13323" max="13323" width="19.33203125" style="271" customWidth="1"/>
    <col min="13324" max="13324" width="23.44140625" style="271" customWidth="1"/>
    <col min="13325" max="13325" width="16.6640625" style="271" customWidth="1"/>
    <col min="13326" max="13326" width="21.6640625" style="271" customWidth="1"/>
    <col min="13327" max="13568" width="11.44140625" style="271"/>
    <col min="13569" max="13569" width="3.44140625" style="271" customWidth="1"/>
    <col min="13570" max="13570" width="23.6640625" style="271" customWidth="1"/>
    <col min="13571" max="13571" width="22.44140625" style="271" customWidth="1"/>
    <col min="13572" max="13572" width="25" style="271" customWidth="1"/>
    <col min="13573" max="13573" width="24" style="271" customWidth="1"/>
    <col min="13574" max="13574" width="28.44140625" style="271" customWidth="1"/>
    <col min="13575" max="13575" width="20.44140625" style="271" customWidth="1"/>
    <col min="13576" max="13576" width="18.109375" style="271" customWidth="1"/>
    <col min="13577" max="13577" width="18.6640625" style="271" customWidth="1"/>
    <col min="13578" max="13578" width="18.44140625" style="271" customWidth="1"/>
    <col min="13579" max="13579" width="19.33203125" style="271" customWidth="1"/>
    <col min="13580" max="13580" width="23.44140625" style="271" customWidth="1"/>
    <col min="13581" max="13581" width="16.6640625" style="271" customWidth="1"/>
    <col min="13582" max="13582" width="21.6640625" style="271" customWidth="1"/>
    <col min="13583" max="13824" width="11.44140625" style="271"/>
    <col min="13825" max="13825" width="3.44140625" style="271" customWidth="1"/>
    <col min="13826" max="13826" width="23.6640625" style="271" customWidth="1"/>
    <col min="13827" max="13827" width="22.44140625" style="271" customWidth="1"/>
    <col min="13828" max="13828" width="25" style="271" customWidth="1"/>
    <col min="13829" max="13829" width="24" style="271" customWidth="1"/>
    <col min="13830" max="13830" width="28.44140625" style="271" customWidth="1"/>
    <col min="13831" max="13831" width="20.44140625" style="271" customWidth="1"/>
    <col min="13832" max="13832" width="18.109375" style="271" customWidth="1"/>
    <col min="13833" max="13833" width="18.6640625" style="271" customWidth="1"/>
    <col min="13834" max="13834" width="18.44140625" style="271" customWidth="1"/>
    <col min="13835" max="13835" width="19.33203125" style="271" customWidth="1"/>
    <col min="13836" max="13836" width="23.44140625" style="271" customWidth="1"/>
    <col min="13837" max="13837" width="16.6640625" style="271" customWidth="1"/>
    <col min="13838" max="13838" width="21.6640625" style="271" customWidth="1"/>
    <col min="13839" max="14080" width="11.44140625" style="271"/>
    <col min="14081" max="14081" width="3.44140625" style="271" customWidth="1"/>
    <col min="14082" max="14082" width="23.6640625" style="271" customWidth="1"/>
    <col min="14083" max="14083" width="22.44140625" style="271" customWidth="1"/>
    <col min="14084" max="14084" width="25" style="271" customWidth="1"/>
    <col min="14085" max="14085" width="24" style="271" customWidth="1"/>
    <col min="14086" max="14086" width="28.44140625" style="271" customWidth="1"/>
    <col min="14087" max="14087" width="20.44140625" style="271" customWidth="1"/>
    <col min="14088" max="14088" width="18.109375" style="271" customWidth="1"/>
    <col min="14089" max="14089" width="18.6640625" style="271" customWidth="1"/>
    <col min="14090" max="14090" width="18.44140625" style="271" customWidth="1"/>
    <col min="14091" max="14091" width="19.33203125" style="271" customWidth="1"/>
    <col min="14092" max="14092" width="23.44140625" style="271" customWidth="1"/>
    <col min="14093" max="14093" width="16.6640625" style="271" customWidth="1"/>
    <col min="14094" max="14094" width="21.6640625" style="271" customWidth="1"/>
    <col min="14095" max="14336" width="11.44140625" style="271"/>
    <col min="14337" max="14337" width="3.44140625" style="271" customWidth="1"/>
    <col min="14338" max="14338" width="23.6640625" style="271" customWidth="1"/>
    <col min="14339" max="14339" width="22.44140625" style="271" customWidth="1"/>
    <col min="14340" max="14340" width="25" style="271" customWidth="1"/>
    <col min="14341" max="14341" width="24" style="271" customWidth="1"/>
    <col min="14342" max="14342" width="28.44140625" style="271" customWidth="1"/>
    <col min="14343" max="14343" width="20.44140625" style="271" customWidth="1"/>
    <col min="14344" max="14344" width="18.109375" style="271" customWidth="1"/>
    <col min="14345" max="14345" width="18.6640625" style="271" customWidth="1"/>
    <col min="14346" max="14346" width="18.44140625" style="271" customWidth="1"/>
    <col min="14347" max="14347" width="19.33203125" style="271" customWidth="1"/>
    <col min="14348" max="14348" width="23.44140625" style="271" customWidth="1"/>
    <col min="14349" max="14349" width="16.6640625" style="271" customWidth="1"/>
    <col min="14350" max="14350" width="21.6640625" style="271" customWidth="1"/>
    <col min="14351" max="14592" width="11.44140625" style="271"/>
    <col min="14593" max="14593" width="3.44140625" style="271" customWidth="1"/>
    <col min="14594" max="14594" width="23.6640625" style="271" customWidth="1"/>
    <col min="14595" max="14595" width="22.44140625" style="271" customWidth="1"/>
    <col min="14596" max="14596" width="25" style="271" customWidth="1"/>
    <col min="14597" max="14597" width="24" style="271" customWidth="1"/>
    <col min="14598" max="14598" width="28.44140625" style="271" customWidth="1"/>
    <col min="14599" max="14599" width="20.44140625" style="271" customWidth="1"/>
    <col min="14600" max="14600" width="18.109375" style="271" customWidth="1"/>
    <col min="14601" max="14601" width="18.6640625" style="271" customWidth="1"/>
    <col min="14602" max="14602" width="18.44140625" style="271" customWidth="1"/>
    <col min="14603" max="14603" width="19.33203125" style="271" customWidth="1"/>
    <col min="14604" max="14604" width="23.44140625" style="271" customWidth="1"/>
    <col min="14605" max="14605" width="16.6640625" style="271" customWidth="1"/>
    <col min="14606" max="14606" width="21.6640625" style="271" customWidth="1"/>
    <col min="14607" max="14848" width="11.44140625" style="271"/>
    <col min="14849" max="14849" width="3.44140625" style="271" customWidth="1"/>
    <col min="14850" max="14850" width="23.6640625" style="271" customWidth="1"/>
    <col min="14851" max="14851" width="22.44140625" style="271" customWidth="1"/>
    <col min="14852" max="14852" width="25" style="271" customWidth="1"/>
    <col min="14853" max="14853" width="24" style="271" customWidth="1"/>
    <col min="14854" max="14854" width="28.44140625" style="271" customWidth="1"/>
    <col min="14855" max="14855" width="20.44140625" style="271" customWidth="1"/>
    <col min="14856" max="14856" width="18.109375" style="271" customWidth="1"/>
    <col min="14857" max="14857" width="18.6640625" style="271" customWidth="1"/>
    <col min="14858" max="14858" width="18.44140625" style="271" customWidth="1"/>
    <col min="14859" max="14859" width="19.33203125" style="271" customWidth="1"/>
    <col min="14860" max="14860" width="23.44140625" style="271" customWidth="1"/>
    <col min="14861" max="14861" width="16.6640625" style="271" customWidth="1"/>
    <col min="14862" max="14862" width="21.6640625" style="271" customWidth="1"/>
    <col min="14863" max="15104" width="11.44140625" style="271"/>
    <col min="15105" max="15105" width="3.44140625" style="271" customWidth="1"/>
    <col min="15106" max="15106" width="23.6640625" style="271" customWidth="1"/>
    <col min="15107" max="15107" width="22.44140625" style="271" customWidth="1"/>
    <col min="15108" max="15108" width="25" style="271" customWidth="1"/>
    <col min="15109" max="15109" width="24" style="271" customWidth="1"/>
    <col min="15110" max="15110" width="28.44140625" style="271" customWidth="1"/>
    <col min="15111" max="15111" width="20.44140625" style="271" customWidth="1"/>
    <col min="15112" max="15112" width="18.109375" style="271" customWidth="1"/>
    <col min="15113" max="15113" width="18.6640625" style="271" customWidth="1"/>
    <col min="15114" max="15114" width="18.44140625" style="271" customWidth="1"/>
    <col min="15115" max="15115" width="19.33203125" style="271" customWidth="1"/>
    <col min="15116" max="15116" width="23.44140625" style="271" customWidth="1"/>
    <col min="15117" max="15117" width="16.6640625" style="271" customWidth="1"/>
    <col min="15118" max="15118" width="21.6640625" style="271" customWidth="1"/>
    <col min="15119" max="15360" width="11.44140625" style="271"/>
    <col min="15361" max="15361" width="3.44140625" style="271" customWidth="1"/>
    <col min="15362" max="15362" width="23.6640625" style="271" customWidth="1"/>
    <col min="15363" max="15363" width="22.44140625" style="271" customWidth="1"/>
    <col min="15364" max="15364" width="25" style="271" customWidth="1"/>
    <col min="15365" max="15365" width="24" style="271" customWidth="1"/>
    <col min="15366" max="15366" width="28.44140625" style="271" customWidth="1"/>
    <col min="15367" max="15367" width="20.44140625" style="271" customWidth="1"/>
    <col min="15368" max="15368" width="18.109375" style="271" customWidth="1"/>
    <col min="15369" max="15369" width="18.6640625" style="271" customWidth="1"/>
    <col min="15370" max="15370" width="18.44140625" style="271" customWidth="1"/>
    <col min="15371" max="15371" width="19.33203125" style="271" customWidth="1"/>
    <col min="15372" max="15372" width="23.44140625" style="271" customWidth="1"/>
    <col min="15373" max="15373" width="16.6640625" style="271" customWidth="1"/>
    <col min="15374" max="15374" width="21.6640625" style="271" customWidth="1"/>
    <col min="15375" max="15616" width="11.44140625" style="271"/>
    <col min="15617" max="15617" width="3.44140625" style="271" customWidth="1"/>
    <col min="15618" max="15618" width="23.6640625" style="271" customWidth="1"/>
    <col min="15619" max="15619" width="22.44140625" style="271" customWidth="1"/>
    <col min="15620" max="15620" width="25" style="271" customWidth="1"/>
    <col min="15621" max="15621" width="24" style="271" customWidth="1"/>
    <col min="15622" max="15622" width="28.44140625" style="271" customWidth="1"/>
    <col min="15623" max="15623" width="20.44140625" style="271" customWidth="1"/>
    <col min="15624" max="15624" width="18.109375" style="271" customWidth="1"/>
    <col min="15625" max="15625" width="18.6640625" style="271" customWidth="1"/>
    <col min="15626" max="15626" width="18.44140625" style="271" customWidth="1"/>
    <col min="15627" max="15627" width="19.33203125" style="271" customWidth="1"/>
    <col min="15628" max="15628" width="23.44140625" style="271" customWidth="1"/>
    <col min="15629" max="15629" width="16.6640625" style="271" customWidth="1"/>
    <col min="15630" max="15630" width="21.6640625" style="271" customWidth="1"/>
    <col min="15631" max="15872" width="11.44140625" style="271"/>
    <col min="15873" max="15873" width="3.44140625" style="271" customWidth="1"/>
    <col min="15874" max="15874" width="23.6640625" style="271" customWidth="1"/>
    <col min="15875" max="15875" width="22.44140625" style="271" customWidth="1"/>
    <col min="15876" max="15876" width="25" style="271" customWidth="1"/>
    <col min="15877" max="15877" width="24" style="271" customWidth="1"/>
    <col min="15878" max="15878" width="28.44140625" style="271" customWidth="1"/>
    <col min="15879" max="15879" width="20.44140625" style="271" customWidth="1"/>
    <col min="15880" max="15880" width="18.109375" style="271" customWidth="1"/>
    <col min="15881" max="15881" width="18.6640625" style="271" customWidth="1"/>
    <col min="15882" max="15882" width="18.44140625" style="271" customWidth="1"/>
    <col min="15883" max="15883" width="19.33203125" style="271" customWidth="1"/>
    <col min="15884" max="15884" width="23.44140625" style="271" customWidth="1"/>
    <col min="15885" max="15885" width="16.6640625" style="271" customWidth="1"/>
    <col min="15886" max="15886" width="21.6640625" style="271" customWidth="1"/>
    <col min="15887" max="16128" width="11.44140625" style="271"/>
    <col min="16129" max="16129" width="3.44140625" style="271" customWidth="1"/>
    <col min="16130" max="16130" width="23.6640625" style="271" customWidth="1"/>
    <col min="16131" max="16131" width="22.44140625" style="271" customWidth="1"/>
    <col min="16132" max="16132" width="25" style="271" customWidth="1"/>
    <col min="16133" max="16133" width="24" style="271" customWidth="1"/>
    <col min="16134" max="16134" width="28.44140625" style="271" customWidth="1"/>
    <col min="16135" max="16135" width="20.44140625" style="271" customWidth="1"/>
    <col min="16136" max="16136" width="18.109375" style="271" customWidth="1"/>
    <col min="16137" max="16137" width="18.6640625" style="271" customWidth="1"/>
    <col min="16138" max="16138" width="18.44140625" style="271" customWidth="1"/>
    <col min="16139" max="16139" width="19.33203125" style="271" customWidth="1"/>
    <col min="16140" max="16140" width="23.44140625" style="271" customWidth="1"/>
    <col min="16141" max="16141" width="16.6640625" style="271" customWidth="1"/>
    <col min="16142" max="16142" width="21.6640625" style="271" customWidth="1"/>
    <col min="16143" max="16384" width="11.44140625" style="271"/>
  </cols>
  <sheetData>
    <row r="1" spans="2:14" s="11" customFormat="1" ht="36.75" customHeight="1" x14ac:dyDescent="0.25">
      <c r="B1" s="1887"/>
      <c r="C1" s="1895" t="s">
        <v>1693</v>
      </c>
      <c r="D1" s="1896"/>
      <c r="E1" s="1896"/>
      <c r="F1" s="1896"/>
      <c r="G1" s="1896"/>
      <c r="H1" s="1897"/>
      <c r="I1" s="1133" t="s">
        <v>1694</v>
      </c>
    </row>
    <row r="2" spans="2:14" s="11" customFormat="1" ht="21" customHeight="1" x14ac:dyDescent="0.25">
      <c r="B2" s="1887"/>
      <c r="C2" s="1898"/>
      <c r="D2" s="1899"/>
      <c r="E2" s="1899"/>
      <c r="F2" s="1899"/>
      <c r="G2" s="1899"/>
      <c r="H2" s="1900"/>
      <c r="I2" s="1133" t="s">
        <v>1689</v>
      </c>
    </row>
    <row r="3" spans="2:14" ht="18.75" customHeight="1" x14ac:dyDescent="0.3">
      <c r="B3" s="1861"/>
      <c r="C3" s="1888"/>
      <c r="D3" s="1888"/>
      <c r="E3" s="1888"/>
      <c r="F3" s="1888"/>
      <c r="G3" s="1888"/>
      <c r="H3" s="1888"/>
      <c r="I3" s="1888"/>
    </row>
    <row r="4" spans="2:14" ht="28.5" hidden="1" customHeight="1" x14ac:dyDescent="0.3">
      <c r="B4" s="1861"/>
      <c r="C4" s="1861"/>
      <c r="D4" s="1861"/>
      <c r="E4" s="1861"/>
      <c r="F4" s="1861"/>
      <c r="G4" s="1861"/>
      <c r="H4" s="1861"/>
      <c r="I4" s="1861"/>
    </row>
    <row r="5" spans="2:14" ht="29.25" customHeight="1" x14ac:dyDescent="0.3">
      <c r="B5" s="317" t="s">
        <v>118</v>
      </c>
      <c r="C5" s="1889" t="str">
        <f>+FENECIMIENTO!D4</f>
        <v xml:space="preserve">80000 - DIRECCIÓN SECTOR MOVILIDAD </v>
      </c>
      <c r="D5" s="1889"/>
      <c r="E5" s="1889"/>
      <c r="F5" s="1889"/>
      <c r="G5" s="1889"/>
      <c r="H5" s="1889"/>
      <c r="I5" s="1889"/>
    </row>
    <row r="6" spans="2:14" ht="29.25" customHeight="1" x14ac:dyDescent="0.3">
      <c r="B6" s="317" t="s">
        <v>1</v>
      </c>
      <c r="C6" s="1890" t="str">
        <f>+FENECIMIENTO!D5</f>
        <v>204 - Instituto de Desarrollo Urbano – IDU</v>
      </c>
      <c r="D6" s="1891"/>
      <c r="E6" s="1891"/>
      <c r="F6" s="318" t="s">
        <v>2</v>
      </c>
      <c r="G6" s="1892">
        <f>+FENECIMIENTO!K5</f>
        <v>2024</v>
      </c>
      <c r="H6" s="1892"/>
      <c r="I6" s="1892"/>
    </row>
    <row r="7" spans="2:14" ht="29.25" customHeight="1" x14ac:dyDescent="0.3">
      <c r="B7" s="317" t="s">
        <v>1681</v>
      </c>
      <c r="C7" s="1891">
        <f>+FENECIMIENTO!D6</f>
        <v>2025</v>
      </c>
      <c r="D7" s="1891"/>
      <c r="E7" s="1891"/>
      <c r="F7" s="318" t="s">
        <v>691</v>
      </c>
      <c r="G7" s="1892">
        <f>+FENECIMIENTO!K6</f>
        <v>87</v>
      </c>
      <c r="H7" s="1892"/>
      <c r="I7" s="1892"/>
    </row>
    <row r="8" spans="2:14" ht="29.25" customHeight="1" x14ac:dyDescent="0.3">
      <c r="C8" s="319"/>
      <c r="D8" s="319"/>
      <c r="E8" s="319"/>
      <c r="F8" s="320"/>
      <c r="G8" s="1021"/>
      <c r="H8" s="1021"/>
      <c r="I8" s="1021"/>
    </row>
    <row r="9" spans="2:14" s="11" customFormat="1" ht="33" customHeight="1" x14ac:dyDescent="0.25">
      <c r="B9" s="1893" t="s">
        <v>692</v>
      </c>
      <c r="C9" s="1893"/>
      <c r="D9" s="1893"/>
      <c r="E9" s="1893"/>
      <c r="F9" s="1893"/>
      <c r="G9" s="1893"/>
      <c r="H9" s="1893"/>
      <c r="I9" s="1893"/>
      <c r="J9" s="50"/>
    </row>
    <row r="10" spans="2:14" x14ac:dyDescent="0.3">
      <c r="C10" s="321"/>
      <c r="D10" s="310"/>
      <c r="E10" s="320"/>
      <c r="F10" s="319"/>
    </row>
    <row r="11" spans="2:14" ht="229.5" customHeight="1" x14ac:dyDescent="0.3">
      <c r="B11" s="1878" t="s">
        <v>693</v>
      </c>
      <c r="C11" s="1878"/>
      <c r="D11" s="1878"/>
      <c r="E11" s="1878"/>
      <c r="F11" s="1878"/>
      <c r="G11" s="1878"/>
      <c r="H11" s="1878"/>
      <c r="I11" s="1878"/>
    </row>
    <row r="12" spans="2:14" ht="8.25" customHeight="1" x14ac:dyDescent="0.3">
      <c r="B12" s="322"/>
      <c r="E12" s="322"/>
    </row>
    <row r="13" spans="2:14" ht="15.6" x14ac:dyDescent="0.3">
      <c r="B13" s="1894" t="s">
        <v>694</v>
      </c>
      <c r="C13" s="1894"/>
      <c r="D13" s="1894"/>
      <c r="E13" s="1894"/>
      <c r="F13" s="1894"/>
      <c r="G13" s="1894"/>
      <c r="H13" s="1894"/>
      <c r="I13" s="1894"/>
    </row>
    <row r="14" spans="2:14" ht="29.25" customHeight="1" x14ac:dyDescent="0.3">
      <c r="B14" s="1861" t="s">
        <v>695</v>
      </c>
      <c r="C14" s="1861"/>
      <c r="D14" s="1861"/>
      <c r="E14" s="1861"/>
      <c r="F14" s="1861"/>
      <c r="G14" s="1861"/>
      <c r="H14" s="1861"/>
      <c r="I14" s="1861"/>
      <c r="J14" s="323"/>
      <c r="K14" s="323"/>
      <c r="L14" s="324"/>
      <c r="M14" s="323"/>
      <c r="N14" s="323"/>
    </row>
    <row r="15" spans="2:14" ht="29.25" customHeight="1" x14ac:dyDescent="0.3">
      <c r="B15" s="1871" t="s">
        <v>1700</v>
      </c>
      <c r="C15" s="1872"/>
      <c r="D15" s="1872"/>
      <c r="E15" s="1872"/>
      <c r="F15" s="1872"/>
      <c r="G15" s="1873"/>
      <c r="H15" s="1874" t="s">
        <v>1701</v>
      </c>
      <c r="I15" s="1875"/>
      <c r="J15" s="323"/>
      <c r="K15" s="323"/>
      <c r="L15" s="324"/>
      <c r="M15" s="323"/>
      <c r="N15" s="323"/>
    </row>
    <row r="16" spans="2:14" ht="52.8" x14ac:dyDescent="0.3">
      <c r="B16" s="325" t="s">
        <v>696</v>
      </c>
      <c r="C16" s="325" t="s">
        <v>211</v>
      </c>
      <c r="D16" s="325" t="s">
        <v>697</v>
      </c>
      <c r="E16" s="326" t="s">
        <v>211</v>
      </c>
      <c r="F16" s="327" t="s">
        <v>698</v>
      </c>
      <c r="G16" s="326" t="s">
        <v>211</v>
      </c>
      <c r="H16" s="325" t="s">
        <v>699</v>
      </c>
      <c r="I16" s="326" t="s">
        <v>211</v>
      </c>
      <c r="J16" s="328"/>
      <c r="K16" s="328"/>
      <c r="L16" s="329"/>
      <c r="M16" s="330"/>
      <c r="N16" s="329"/>
    </row>
    <row r="17" spans="2:14" x14ac:dyDescent="0.3">
      <c r="B17" s="1329" t="s">
        <v>1699</v>
      </c>
      <c r="C17" s="351">
        <v>0</v>
      </c>
      <c r="D17" s="1329" t="s">
        <v>1699</v>
      </c>
      <c r="E17" s="351">
        <v>0</v>
      </c>
      <c r="F17" s="1329" t="s">
        <v>1699</v>
      </c>
      <c r="G17" s="351">
        <v>0</v>
      </c>
      <c r="H17" s="1329" t="s">
        <v>156</v>
      </c>
      <c r="I17" s="351">
        <v>1</v>
      </c>
      <c r="J17" s="324"/>
      <c r="K17" s="324"/>
      <c r="L17" s="332"/>
      <c r="M17" s="333"/>
      <c r="N17" s="334"/>
    </row>
    <row r="18" spans="2:14" x14ac:dyDescent="0.3">
      <c r="B18" s="1329" t="s">
        <v>700</v>
      </c>
      <c r="C18" s="351">
        <v>1</v>
      </c>
      <c r="D18" s="1330" t="s">
        <v>157</v>
      </c>
      <c r="E18" s="351">
        <v>1</v>
      </c>
      <c r="F18" s="1329" t="s">
        <v>701</v>
      </c>
      <c r="G18" s="351">
        <v>1</v>
      </c>
      <c r="H18" s="1329" t="s">
        <v>133</v>
      </c>
      <c r="I18" s="351">
        <v>2</v>
      </c>
      <c r="J18" s="324"/>
      <c r="K18" s="324"/>
      <c r="L18" s="332"/>
      <c r="M18" s="333"/>
      <c r="N18" s="334"/>
    </row>
    <row r="19" spans="2:14" x14ac:dyDescent="0.3">
      <c r="B19" s="1329" t="s">
        <v>702</v>
      </c>
      <c r="C19" s="351">
        <v>2</v>
      </c>
      <c r="D19" s="1329" t="s">
        <v>132</v>
      </c>
      <c r="E19" s="1331">
        <v>2</v>
      </c>
      <c r="F19" s="1329" t="s">
        <v>703</v>
      </c>
      <c r="G19" s="351">
        <v>4</v>
      </c>
      <c r="H19" s="1329" t="s">
        <v>154</v>
      </c>
      <c r="I19" s="351">
        <v>3</v>
      </c>
      <c r="J19" s="323"/>
      <c r="K19" s="323"/>
      <c r="L19" s="332"/>
      <c r="M19" s="333"/>
      <c r="N19" s="332"/>
    </row>
    <row r="20" spans="2:14" x14ac:dyDescent="0.3">
      <c r="B20" s="1329" t="s">
        <v>538</v>
      </c>
      <c r="C20" s="336">
        <v>3</v>
      </c>
      <c r="D20" s="1330" t="s">
        <v>155</v>
      </c>
      <c r="E20" s="351">
        <v>3</v>
      </c>
      <c r="F20" s="317"/>
      <c r="G20" s="1332"/>
      <c r="H20" s="1333" t="s">
        <v>704</v>
      </c>
      <c r="I20" s="1331">
        <v>4</v>
      </c>
      <c r="J20" s="323"/>
      <c r="K20" s="323"/>
      <c r="L20" s="332"/>
      <c r="M20" s="335"/>
      <c r="N20" s="334"/>
    </row>
    <row r="21" spans="2:14" x14ac:dyDescent="0.3">
      <c r="B21" s="1330" t="s">
        <v>544</v>
      </c>
      <c r="C21" s="336">
        <v>4</v>
      </c>
      <c r="D21" s="1330" t="s">
        <v>153</v>
      </c>
      <c r="E21" s="351">
        <v>4</v>
      </c>
      <c r="F21" s="317"/>
      <c r="G21" s="317"/>
      <c r="H21" s="317"/>
      <c r="I21" s="317"/>
      <c r="J21" s="337"/>
      <c r="K21" s="337"/>
      <c r="L21" s="338"/>
      <c r="M21" s="339"/>
      <c r="N21" s="340"/>
    </row>
    <row r="22" spans="2:14" x14ac:dyDescent="0.3">
      <c r="B22" s="1263">
        <f>IF(B30="Abstención",4,IF(B30="Negativa",3,IF(B30="Con salvedades",2,IF(B30="Sin salvedades",1,0))))</f>
        <v>1</v>
      </c>
      <c r="C22" s="1263"/>
      <c r="D22" s="1263">
        <f>IF(C30="Ineficiente",3,IF(C30="Con deficiencias",2,IF(C30="Eficiente",1,IF(C30="Inexistente",4,0))))</f>
        <v>2</v>
      </c>
      <c r="E22" s="1263"/>
      <c r="F22" s="1263">
        <f>IF(D30="No fenecida",4,IF(D30="Fenecida",1,0))</f>
        <v>1</v>
      </c>
      <c r="G22" s="1263"/>
      <c r="H22" s="1263">
        <f>IF(E30="Critico",4,IF(E30="Alto",3,IF(E30="Medio",2,IF(E30="Bajo",1,0))))</f>
        <v>1</v>
      </c>
      <c r="I22" s="1263"/>
      <c r="J22" s="337"/>
      <c r="K22" s="337"/>
      <c r="L22" s="341"/>
      <c r="M22" s="342"/>
      <c r="N22" s="343"/>
    </row>
    <row r="23" spans="2:14" x14ac:dyDescent="0.3">
      <c r="B23" s="1262"/>
      <c r="C23" s="1262"/>
      <c r="D23" s="1262"/>
      <c r="E23" s="1262"/>
      <c r="F23" s="1262"/>
      <c r="G23" s="1262"/>
      <c r="H23" s="348"/>
      <c r="I23" s="1262"/>
      <c r="J23" s="337"/>
      <c r="K23" s="337"/>
      <c r="L23" s="324"/>
      <c r="M23" s="323"/>
      <c r="N23" s="323"/>
    </row>
    <row r="24" spans="2:14" ht="75" customHeight="1" x14ac:dyDescent="0.3">
      <c r="B24" s="1876" t="s">
        <v>705</v>
      </c>
      <c r="C24" s="1876"/>
      <c r="D24" s="1876"/>
      <c r="E24" s="1876"/>
      <c r="F24" s="1876"/>
      <c r="G24" s="1876"/>
      <c r="H24" s="1876"/>
      <c r="I24" s="1876"/>
      <c r="J24" s="337"/>
      <c r="K24" s="337"/>
      <c r="L24" s="324"/>
      <c r="M24" s="323"/>
      <c r="N24" s="323"/>
    </row>
    <row r="25" spans="2:14" x14ac:dyDescent="0.3">
      <c r="B25" s="1262"/>
      <c r="C25" s="1262"/>
      <c r="D25" s="1262"/>
      <c r="E25" s="1262"/>
      <c r="F25" s="1262"/>
      <c r="G25" s="1262"/>
      <c r="H25" s="348"/>
      <c r="I25" s="1262"/>
      <c r="J25" s="337"/>
      <c r="K25" s="337"/>
      <c r="L25" s="324"/>
      <c r="M25" s="323"/>
      <c r="N25" s="323"/>
    </row>
    <row r="26" spans="2:14" x14ac:dyDescent="0.3">
      <c r="B26" s="1262"/>
      <c r="C26" s="1262"/>
      <c r="D26" s="1262"/>
      <c r="E26" s="1262"/>
      <c r="F26" s="1262"/>
      <c r="G26" s="1262"/>
      <c r="H26" s="348"/>
      <c r="I26" s="1262"/>
      <c r="J26" s="337"/>
      <c r="K26" s="337"/>
      <c r="L26" s="324"/>
      <c r="M26" s="323"/>
      <c r="N26" s="323"/>
    </row>
    <row r="27" spans="2:14" ht="42" customHeight="1" x14ac:dyDescent="0.3">
      <c r="B27" s="1877" t="s">
        <v>706</v>
      </c>
      <c r="C27" s="1877"/>
      <c r="D27" s="1877"/>
      <c r="E27" s="1877"/>
      <c r="F27" s="50"/>
      <c r="G27" s="50"/>
      <c r="I27" s="344"/>
      <c r="J27" s="340"/>
      <c r="K27" s="340"/>
      <c r="L27" s="345"/>
      <c r="M27" s="340"/>
      <c r="N27" s="346"/>
    </row>
    <row r="28" spans="2:14" ht="91.2" customHeight="1" x14ac:dyDescent="0.3">
      <c r="B28" s="1884" t="s">
        <v>1702</v>
      </c>
      <c r="C28" s="1885"/>
      <c r="D28" s="1885"/>
      <c r="E28" s="1886"/>
      <c r="F28" s="50"/>
      <c r="G28" s="50"/>
      <c r="I28" s="344"/>
      <c r="J28" s="340"/>
      <c r="K28" s="340"/>
      <c r="L28" s="345"/>
      <c r="M28" s="340"/>
      <c r="N28" s="346"/>
    </row>
    <row r="29" spans="2:14" ht="80.25" customHeight="1" x14ac:dyDescent="0.3">
      <c r="B29" s="1135" t="s">
        <v>707</v>
      </c>
      <c r="C29" s="1136" t="s">
        <v>1703</v>
      </c>
      <c r="D29" s="1137" t="s">
        <v>708</v>
      </c>
      <c r="E29" s="1138" t="s">
        <v>1704</v>
      </c>
      <c r="F29" s="347"/>
      <c r="I29" s="344"/>
      <c r="J29" s="348"/>
      <c r="K29" s="348"/>
      <c r="L29" s="329"/>
      <c r="M29" s="329"/>
      <c r="N29" s="329"/>
    </row>
    <row r="30" spans="2:14" x14ac:dyDescent="0.3">
      <c r="B30" s="331" t="s">
        <v>700</v>
      </c>
      <c r="C30" s="331" t="s">
        <v>132</v>
      </c>
      <c r="D30" s="331" t="s">
        <v>701</v>
      </c>
      <c r="E30" s="331" t="s">
        <v>156</v>
      </c>
      <c r="F30" s="332"/>
      <c r="I30" s="344"/>
      <c r="J30" s="340"/>
      <c r="K30" s="340"/>
      <c r="L30" s="332"/>
      <c r="M30" s="332"/>
      <c r="N30" s="332"/>
    </row>
    <row r="31" spans="2:14" x14ac:dyDescent="0.3">
      <c r="B31" s="337"/>
      <c r="C31" s="337"/>
      <c r="D31" s="337"/>
      <c r="E31" s="337"/>
      <c r="F31" s="337"/>
      <c r="I31" s="344"/>
      <c r="L31" s="337"/>
      <c r="M31" s="337"/>
      <c r="N31" s="337"/>
    </row>
    <row r="32" spans="2:14" ht="72" customHeight="1" x14ac:dyDescent="0.3">
      <c r="B32" s="1878" t="s">
        <v>709</v>
      </c>
      <c r="C32" s="1878"/>
      <c r="D32" s="1878"/>
      <c r="E32" s="1878"/>
      <c r="F32" s="1878"/>
      <c r="G32" s="1878"/>
      <c r="H32" s="1878"/>
      <c r="I32" s="1878"/>
      <c r="L32" s="337"/>
      <c r="M32" s="337"/>
      <c r="N32" s="337"/>
    </row>
    <row r="33" spans="2:14" x14ac:dyDescent="0.3">
      <c r="B33" s="1262"/>
      <c r="C33" s="1262"/>
      <c r="D33" s="1262"/>
      <c r="E33" s="1262"/>
      <c r="F33" s="1262"/>
      <c r="G33" s="1262"/>
      <c r="H33" s="348"/>
      <c r="I33" s="1262"/>
      <c r="J33" s="337"/>
      <c r="K33" s="337"/>
      <c r="L33" s="324"/>
      <c r="M33" s="323"/>
      <c r="N33" s="323"/>
    </row>
    <row r="34" spans="2:14" ht="43.5" customHeight="1" x14ac:dyDescent="0.3">
      <c r="B34" s="1879" t="s">
        <v>710</v>
      </c>
      <c r="C34" s="1879"/>
      <c r="D34" s="1879"/>
      <c r="E34" s="1879"/>
      <c r="F34" s="1879"/>
      <c r="G34" s="621"/>
      <c r="H34" s="621"/>
      <c r="I34" s="621"/>
      <c r="J34" s="337"/>
      <c r="K34" s="337"/>
      <c r="L34" s="324"/>
      <c r="M34" s="323"/>
      <c r="N34" s="323"/>
    </row>
    <row r="35" spans="2:14" ht="31.5" customHeight="1" x14ac:dyDescent="0.3">
      <c r="B35" s="349" t="s">
        <v>711</v>
      </c>
      <c r="C35" s="349" t="s">
        <v>712</v>
      </c>
      <c r="D35" s="1880" t="s">
        <v>713</v>
      </c>
      <c r="E35" s="1880"/>
      <c r="F35" s="1880"/>
      <c r="I35" s="344"/>
      <c r="J35" s="350"/>
      <c r="K35" s="350"/>
      <c r="L35" s="350"/>
      <c r="M35" s="350"/>
      <c r="N35" s="350"/>
    </row>
    <row r="36" spans="2:14" ht="45" customHeight="1" x14ac:dyDescent="0.3">
      <c r="B36" s="317" t="s">
        <v>714</v>
      </c>
      <c r="C36" s="351" t="s">
        <v>715</v>
      </c>
      <c r="D36" s="1881" t="s">
        <v>716</v>
      </c>
      <c r="E36" s="1881"/>
      <c r="F36" s="1881"/>
      <c r="I36" s="344"/>
      <c r="J36" s="350"/>
      <c r="K36" s="350"/>
      <c r="L36" s="350"/>
      <c r="M36" s="350"/>
      <c r="N36" s="350"/>
    </row>
    <row r="37" spans="2:14" ht="39" customHeight="1" x14ac:dyDescent="0.3">
      <c r="B37" s="317" t="s">
        <v>717</v>
      </c>
      <c r="C37" s="351" t="s">
        <v>715</v>
      </c>
      <c r="D37" s="1881"/>
      <c r="E37" s="1881"/>
      <c r="F37" s="1881"/>
      <c r="I37" s="344"/>
      <c r="J37" s="350"/>
      <c r="K37" s="350"/>
      <c r="L37" s="350"/>
      <c r="M37" s="350"/>
      <c r="N37" s="350"/>
    </row>
    <row r="38" spans="2:14" x14ac:dyDescent="0.3">
      <c r="C38" s="352"/>
      <c r="D38" s="353"/>
      <c r="E38" s="353"/>
      <c r="F38" s="353"/>
      <c r="I38" s="344"/>
      <c r="J38" s="350"/>
      <c r="K38" s="350"/>
      <c r="L38" s="350"/>
      <c r="M38" s="350"/>
      <c r="N38" s="350"/>
    </row>
    <row r="39" spans="2:14" ht="46.5" customHeight="1" x14ac:dyDescent="0.3">
      <c r="B39" s="1876" t="s">
        <v>718</v>
      </c>
      <c r="C39" s="1876"/>
      <c r="D39" s="1876"/>
      <c r="E39" s="1876"/>
      <c r="F39" s="1876"/>
      <c r="G39" s="1876"/>
      <c r="H39" s="1876"/>
      <c r="I39" s="1876"/>
      <c r="J39" s="346"/>
      <c r="K39" s="346"/>
      <c r="L39" s="345"/>
      <c r="M39" s="340"/>
      <c r="N39" s="346"/>
    </row>
    <row r="40" spans="2:14" x14ac:dyDescent="0.3">
      <c r="C40" s="354"/>
      <c r="I40" s="344"/>
      <c r="J40" s="340"/>
      <c r="K40" s="340"/>
      <c r="L40" s="355"/>
      <c r="M40" s="340"/>
      <c r="N40" s="340"/>
    </row>
    <row r="41" spans="2:14" s="340" customFormat="1" ht="38.25" customHeight="1" x14ac:dyDescent="0.3">
      <c r="B41" s="1882" t="s">
        <v>719</v>
      </c>
      <c r="C41" s="1882"/>
      <c r="D41" s="1882"/>
      <c r="E41" s="1882"/>
      <c r="F41" s="1882"/>
      <c r="G41" s="1882"/>
      <c r="H41" s="356"/>
      <c r="I41" s="356"/>
      <c r="J41" s="357"/>
      <c r="K41" s="357"/>
      <c r="L41" s="333"/>
      <c r="M41" s="328"/>
      <c r="N41" s="348"/>
    </row>
    <row r="42" spans="2:14" s="340" customFormat="1" ht="69" customHeight="1" x14ac:dyDescent="0.3">
      <c r="B42" s="1334" t="s">
        <v>720</v>
      </c>
      <c r="C42" s="1335" t="s">
        <v>721</v>
      </c>
      <c r="D42" s="1334" t="s">
        <v>722</v>
      </c>
      <c r="E42" s="1261" t="s">
        <v>723</v>
      </c>
      <c r="F42" s="1883" t="s">
        <v>724</v>
      </c>
      <c r="G42" s="1883"/>
      <c r="H42" s="328"/>
      <c r="J42" s="357"/>
      <c r="K42" s="357"/>
      <c r="L42" s="333"/>
      <c r="M42" s="328"/>
      <c r="N42" s="348"/>
    </row>
    <row r="43" spans="2:14" s="340" customFormat="1" ht="52.5" customHeight="1" x14ac:dyDescent="0.3">
      <c r="B43" s="358" t="s">
        <v>1705</v>
      </c>
      <c r="C43" s="1336" t="s">
        <v>725</v>
      </c>
      <c r="D43" s="359" t="s">
        <v>726</v>
      </c>
      <c r="E43" s="1337">
        <v>0.03</v>
      </c>
      <c r="F43" s="1870" t="s">
        <v>727</v>
      </c>
      <c r="G43" s="1870"/>
      <c r="H43" s="328"/>
      <c r="J43" s="357"/>
      <c r="K43" s="357"/>
      <c r="L43" s="333"/>
      <c r="M43" s="328"/>
      <c r="N43" s="348"/>
    </row>
    <row r="44" spans="2:14" s="340" customFormat="1" ht="34.5" customHeight="1" x14ac:dyDescent="0.3">
      <c r="B44" s="358" t="s">
        <v>728</v>
      </c>
      <c r="C44" s="1336" t="s">
        <v>729</v>
      </c>
      <c r="D44" s="360" t="s">
        <v>730</v>
      </c>
      <c r="E44" s="1337">
        <v>2.3E-2</v>
      </c>
      <c r="F44" s="1859" t="s">
        <v>731</v>
      </c>
      <c r="G44" s="1859"/>
      <c r="H44" s="328"/>
      <c r="J44" s="357"/>
      <c r="K44" s="357"/>
      <c r="L44" s="333"/>
      <c r="M44" s="328"/>
      <c r="N44" s="348"/>
    </row>
    <row r="45" spans="2:14" s="340" customFormat="1" ht="31.5" customHeight="1" x14ac:dyDescent="0.3">
      <c r="B45" s="358" t="s">
        <v>732</v>
      </c>
      <c r="C45" s="1336" t="s">
        <v>733</v>
      </c>
      <c r="D45" s="361" t="s">
        <v>734</v>
      </c>
      <c r="E45" s="1337">
        <v>1.7000000000000001E-2</v>
      </c>
      <c r="F45" s="1859"/>
      <c r="G45" s="1859"/>
      <c r="H45" s="328"/>
      <c r="J45" s="357"/>
      <c r="K45" s="357"/>
      <c r="L45" s="333"/>
      <c r="M45" s="328"/>
      <c r="N45" s="348"/>
    </row>
    <row r="46" spans="2:14" ht="12" customHeight="1" x14ac:dyDescent="0.3">
      <c r="B46" s="357"/>
      <c r="C46" s="328"/>
      <c r="D46" s="328"/>
      <c r="E46" s="348"/>
      <c r="F46" s="362"/>
      <c r="G46" s="1338"/>
      <c r="H46" s="352"/>
      <c r="J46" s="357"/>
      <c r="K46" s="357"/>
      <c r="L46" s="328"/>
      <c r="M46" s="328"/>
      <c r="N46" s="348"/>
    </row>
    <row r="47" spans="2:14" ht="113.25" customHeight="1" x14ac:dyDescent="0.3">
      <c r="B47" s="1860" t="s">
        <v>735</v>
      </c>
      <c r="C47" s="1860"/>
      <c r="D47" s="1860"/>
      <c r="E47" s="1860"/>
      <c r="F47" s="1860"/>
      <c r="G47" s="1860"/>
      <c r="H47" s="352"/>
      <c r="J47" s="357"/>
      <c r="K47" s="357"/>
      <c r="L47" s="328"/>
      <c r="M47" s="328"/>
      <c r="N47" s="348"/>
    </row>
    <row r="48" spans="2:14" ht="12" customHeight="1" x14ac:dyDescent="0.3">
      <c r="B48" s="357"/>
      <c r="C48" s="333"/>
      <c r="D48" s="328"/>
      <c r="E48" s="348"/>
      <c r="F48" s="362"/>
      <c r="G48" s="363"/>
      <c r="H48" s="324"/>
      <c r="J48" s="357"/>
      <c r="K48" s="357"/>
      <c r="L48" s="328"/>
      <c r="M48" s="328"/>
      <c r="N48" s="348"/>
    </row>
    <row r="49" spans="2:15" ht="17.25" customHeight="1" x14ac:dyDescent="0.3">
      <c r="B49" s="1861" t="s">
        <v>736</v>
      </c>
      <c r="C49" s="1861"/>
      <c r="D49" s="1861"/>
      <c r="E49" s="1861"/>
      <c r="F49" s="1861"/>
      <c r="G49" s="1861"/>
      <c r="H49" s="324"/>
      <c r="J49" s="357"/>
      <c r="K49" s="357"/>
      <c r="L49" s="328"/>
      <c r="M49" s="328"/>
      <c r="N49" s="348"/>
    </row>
    <row r="50" spans="2:15" ht="42" customHeight="1" x14ac:dyDescent="0.3">
      <c r="B50" s="364" t="s">
        <v>737</v>
      </c>
      <c r="C50" s="1339" t="s">
        <v>722</v>
      </c>
      <c r="D50" s="365" t="s">
        <v>738</v>
      </c>
      <c r="E50" s="365" t="s">
        <v>739</v>
      </c>
      <c r="F50" s="366" t="s">
        <v>740</v>
      </c>
      <c r="G50" s="366" t="s">
        <v>741</v>
      </c>
      <c r="H50" s="324"/>
      <c r="J50" s="357"/>
      <c r="K50" s="357"/>
      <c r="L50" s="328"/>
      <c r="M50" s="328"/>
      <c r="N50" s="348"/>
    </row>
    <row r="51" spans="2:15" ht="23.25" customHeight="1" x14ac:dyDescent="0.3">
      <c r="B51" s="367">
        <f>SUM(B22,D22,F22,H22)</f>
        <v>5</v>
      </c>
      <c r="C51" s="368" t="str">
        <f>IF(ISERROR(B51),"SIN VALOR",IF(AND(B51&gt;=1,B51&lt;8),D43,IF(AND(B51&gt;=8,B51&lt;12),D44,IF(AND(B51&gt;=12),D45))))</f>
        <v>Entre &gt;2,3% y &lt;=3%</v>
      </c>
      <c r="D51" s="1340" t="s">
        <v>714</v>
      </c>
      <c r="E51" s="1341">
        <f>+'HALLAZGOS OPINIÓN_FIN'!$B$12</f>
        <v>19874171966247</v>
      </c>
      <c r="F51" s="368" t="str">
        <f>IF(ISERROR(B51),"SIN VALOR",IF(AND(B51&lt;8),"3%",IF(AND(B51&gt;=8,B51&lt;12),"2,3%",IF(AND(B51&gt;=12),"1,7%"))))</f>
        <v>3%</v>
      </c>
      <c r="G51" s="1139">
        <f>E51*F51</f>
        <v>596225158987.41003</v>
      </c>
      <c r="H51" s="324"/>
      <c r="J51" s="357"/>
      <c r="K51" s="357"/>
      <c r="L51" s="328"/>
      <c r="M51" s="328"/>
      <c r="N51" s="348"/>
    </row>
    <row r="52" spans="2:15" ht="12" customHeight="1" x14ac:dyDescent="0.3">
      <c r="B52" s="357"/>
      <c r="C52" s="333"/>
      <c r="D52" s="328"/>
      <c r="E52" s="348"/>
      <c r="F52" s="362"/>
      <c r="G52" s="363"/>
      <c r="H52" s="324"/>
      <c r="J52" s="357"/>
      <c r="K52" s="357"/>
      <c r="L52" s="328"/>
      <c r="M52" s="328"/>
      <c r="N52" s="348"/>
    </row>
    <row r="53" spans="2:15" ht="60" customHeight="1" x14ac:dyDescent="0.3">
      <c r="B53" s="1860" t="s">
        <v>742</v>
      </c>
      <c r="C53" s="1860"/>
      <c r="D53" s="1860"/>
      <c r="E53" s="1860"/>
      <c r="F53" s="1860"/>
      <c r="G53" s="1860"/>
      <c r="H53" s="324"/>
      <c r="J53" s="357"/>
      <c r="K53" s="357"/>
      <c r="L53" s="328"/>
      <c r="M53" s="328"/>
      <c r="N53" s="348"/>
    </row>
    <row r="54" spans="2:15" ht="12" customHeight="1" x14ac:dyDescent="0.3">
      <c r="B54" s="357"/>
      <c r="C54" s="333"/>
      <c r="D54" s="328"/>
      <c r="E54" s="348"/>
      <c r="F54" s="362"/>
      <c r="G54" s="363"/>
      <c r="H54" s="324"/>
      <c r="J54" s="357"/>
      <c r="K54" s="357"/>
      <c r="L54" s="328"/>
      <c r="M54" s="328"/>
      <c r="N54" s="348"/>
    </row>
    <row r="55" spans="2:15" ht="15.6" x14ac:dyDescent="0.3">
      <c r="B55" s="1862" t="s">
        <v>743</v>
      </c>
      <c r="C55" s="1862"/>
      <c r="D55" s="1862"/>
      <c r="E55" s="1862"/>
      <c r="F55" s="1862"/>
      <c r="G55" s="1862"/>
      <c r="H55" s="1862"/>
      <c r="I55" s="1862"/>
      <c r="J55" s="1862"/>
      <c r="K55" s="1862"/>
      <c r="L55" s="1862"/>
    </row>
    <row r="56" spans="2:15" ht="25.5" customHeight="1" x14ac:dyDescent="0.3">
      <c r="B56" s="323"/>
      <c r="C56" s="352"/>
      <c r="D56" s="323"/>
      <c r="E56" s="352"/>
      <c r="F56" s="1863" t="s">
        <v>744</v>
      </c>
      <c r="G56" s="1864"/>
      <c r="H56" s="1864"/>
      <c r="I56" s="1864"/>
      <c r="J56" s="1864"/>
      <c r="K56" s="1864"/>
      <c r="L56" s="1865"/>
    </row>
    <row r="57" spans="2:15" ht="58.5" customHeight="1" x14ac:dyDescent="0.3">
      <c r="B57" s="1866" t="s">
        <v>745</v>
      </c>
      <c r="C57" s="1866"/>
      <c r="D57" s="1866"/>
      <c r="E57" s="1866"/>
      <c r="F57" s="1867" t="s">
        <v>746</v>
      </c>
      <c r="G57" s="1867"/>
      <c r="H57" s="1867" t="s">
        <v>747</v>
      </c>
      <c r="I57" s="1867"/>
      <c r="J57" s="1867"/>
      <c r="K57" s="1867"/>
      <c r="L57" s="369" t="s">
        <v>748</v>
      </c>
      <c r="M57" s="348"/>
      <c r="N57" s="370"/>
      <c r="O57" s="370"/>
    </row>
    <row r="58" spans="2:15" ht="26.4" x14ac:dyDescent="0.3">
      <c r="B58" s="371" t="s">
        <v>749</v>
      </c>
      <c r="C58" s="1119" t="s">
        <v>750</v>
      </c>
      <c r="D58" s="372" t="str">
        <f>C51</f>
        <v>Entre &gt;2,3% y &lt;=3%</v>
      </c>
      <c r="E58" s="373" t="str">
        <f>IF(D58=D76,C76,IF(D58=D77,C77,C78))</f>
        <v xml:space="preserve">Valor Material en NIVEL 1 </v>
      </c>
      <c r="F58" s="1868" t="s">
        <v>751</v>
      </c>
      <c r="G58" s="1868"/>
      <c r="H58" s="1869" t="s">
        <v>752</v>
      </c>
      <c r="I58" s="1869"/>
      <c r="J58" s="1869"/>
      <c r="K58" s="1869"/>
      <c r="L58" s="374" t="s">
        <v>753</v>
      </c>
      <c r="M58" s="328"/>
      <c r="N58" s="375"/>
      <c r="O58" s="376"/>
    </row>
    <row r="59" spans="2:15" x14ac:dyDescent="0.3">
      <c r="B59" s="1255" t="str">
        <f>+D51</f>
        <v>Activos</v>
      </c>
      <c r="C59" s="377">
        <f>E51</f>
        <v>19874171966247</v>
      </c>
      <c r="D59" s="378" t="str">
        <f>F51</f>
        <v>3%</v>
      </c>
      <c r="E59" s="379" t="s">
        <v>754</v>
      </c>
      <c r="F59" s="380" t="s">
        <v>755</v>
      </c>
      <c r="G59" s="381" t="str">
        <f>D59</f>
        <v>3%</v>
      </c>
      <c r="H59" s="382" t="s">
        <v>756</v>
      </c>
      <c r="I59" s="381" t="str">
        <f>D59</f>
        <v>3%</v>
      </c>
      <c r="J59" s="351" t="s">
        <v>757</v>
      </c>
      <c r="K59" s="378">
        <f>D59*5</f>
        <v>0.15</v>
      </c>
      <c r="L59" s="378">
        <f>D59*5</f>
        <v>0.15</v>
      </c>
      <c r="M59" s="328"/>
      <c r="N59" s="383"/>
      <c r="O59" s="328"/>
    </row>
    <row r="60" spans="2:15" x14ac:dyDescent="0.3">
      <c r="B60" s="384"/>
      <c r="C60" s="377"/>
      <c r="D60" s="385">
        <f>C59*D59</f>
        <v>596225158987.41003</v>
      </c>
      <c r="E60" s="379" t="s">
        <v>758</v>
      </c>
      <c r="F60" s="380" t="s">
        <v>755</v>
      </c>
      <c r="G60" s="386">
        <f>D60</f>
        <v>596225158987.41003</v>
      </c>
      <c r="H60" s="382" t="s">
        <v>756</v>
      </c>
      <c r="I60" s="386">
        <f>D60</f>
        <v>596225158987.41003</v>
      </c>
      <c r="J60" s="351" t="s">
        <v>757</v>
      </c>
      <c r="K60" s="386">
        <f>D60*5</f>
        <v>2981125794937.0503</v>
      </c>
      <c r="L60" s="387">
        <f>D60*5</f>
        <v>2981125794937.0503</v>
      </c>
      <c r="M60" s="328"/>
      <c r="N60" s="383"/>
      <c r="O60" s="328"/>
    </row>
    <row r="61" spans="2:15" x14ac:dyDescent="0.3">
      <c r="B61" s="323"/>
      <c r="C61" s="323"/>
      <c r="D61" s="323"/>
      <c r="E61" s="323"/>
      <c r="M61" s="340"/>
      <c r="N61" s="340"/>
      <c r="O61" s="340"/>
    </row>
    <row r="63" spans="2:15" s="310" customFormat="1" x14ac:dyDescent="0.3">
      <c r="B63" s="1850" t="s">
        <v>759</v>
      </c>
      <c r="C63" s="1851"/>
      <c r="D63" s="1851"/>
      <c r="E63" s="1851"/>
      <c r="F63" s="1851"/>
      <c r="G63" s="1851"/>
      <c r="H63" s="1851"/>
      <c r="I63" s="1851"/>
      <c r="J63" s="1851"/>
      <c r="K63" s="1851"/>
      <c r="L63" s="1851"/>
      <c r="M63" s="1851"/>
      <c r="N63" s="1852"/>
    </row>
    <row r="64" spans="2:15" s="310" customFormat="1" x14ac:dyDescent="0.3">
      <c r="B64" s="1853"/>
      <c r="C64" s="1854"/>
      <c r="D64" s="1854"/>
      <c r="E64" s="1854"/>
      <c r="F64" s="1854"/>
      <c r="G64" s="1854"/>
      <c r="H64" s="1854"/>
      <c r="I64" s="1854"/>
      <c r="J64" s="1854"/>
      <c r="K64" s="1854"/>
      <c r="L64" s="1854"/>
      <c r="M64" s="1854"/>
      <c r="N64" s="1855"/>
    </row>
    <row r="65" spans="2:14" s="310" customFormat="1" x14ac:dyDescent="0.3">
      <c r="B65" s="1856"/>
      <c r="C65" s="1857"/>
      <c r="D65" s="1857"/>
      <c r="E65" s="1857"/>
      <c r="F65" s="1857"/>
      <c r="G65" s="1857"/>
      <c r="H65" s="1857"/>
      <c r="I65" s="1857"/>
      <c r="J65" s="1857"/>
      <c r="K65" s="1857"/>
      <c r="L65" s="1857"/>
      <c r="M65" s="1857"/>
      <c r="N65" s="1858"/>
    </row>
    <row r="66" spans="2:14" s="310" customFormat="1" ht="13.8" x14ac:dyDescent="0.3">
      <c r="B66" s="1835" t="s">
        <v>760</v>
      </c>
      <c r="C66" s="1836"/>
      <c r="D66" s="1836"/>
      <c r="E66" s="1836"/>
      <c r="F66" s="1836"/>
      <c r="G66" s="1836"/>
      <c r="H66" s="1836"/>
      <c r="I66" s="1836"/>
      <c r="J66" s="1836"/>
      <c r="K66" s="1837"/>
      <c r="L66" s="1832" t="s">
        <v>761</v>
      </c>
      <c r="M66" s="1832"/>
      <c r="N66" s="1832"/>
    </row>
    <row r="67" spans="2:14" s="310" customFormat="1" ht="13.8" x14ac:dyDescent="0.3">
      <c r="B67" s="1832" t="s">
        <v>762</v>
      </c>
      <c r="C67" s="1832"/>
      <c r="D67" s="1832"/>
      <c r="E67" s="1832"/>
      <c r="F67" s="1832"/>
      <c r="G67" s="1832"/>
      <c r="H67" s="1832"/>
      <c r="I67" s="1832"/>
      <c r="J67" s="1832"/>
      <c r="K67" s="1832"/>
      <c r="L67" s="1832"/>
      <c r="M67" s="1832"/>
      <c r="N67" s="1832"/>
    </row>
    <row r="68" spans="2:14" s="310" customFormat="1" x14ac:dyDescent="0.3">
      <c r="B68" s="1838" t="s">
        <v>763</v>
      </c>
      <c r="C68" s="1839"/>
      <c r="D68" s="1839"/>
      <c r="E68" s="1839"/>
      <c r="F68" s="1840"/>
      <c r="G68" s="1844" t="s">
        <v>764</v>
      </c>
      <c r="H68" s="1845"/>
      <c r="I68" s="1845"/>
      <c r="J68" s="1845"/>
      <c r="K68" s="1846"/>
      <c r="L68" s="1832" t="s">
        <v>765</v>
      </c>
      <c r="M68" s="1832"/>
      <c r="N68" s="1832"/>
    </row>
    <row r="69" spans="2:14" s="310" customFormat="1" x14ac:dyDescent="0.3">
      <c r="B69" s="1841"/>
      <c r="C69" s="1842"/>
      <c r="D69" s="1842"/>
      <c r="E69" s="1842"/>
      <c r="F69" s="1843"/>
      <c r="G69" s="1847"/>
      <c r="H69" s="1848"/>
      <c r="I69" s="1848"/>
      <c r="J69" s="1848"/>
      <c r="K69" s="1849"/>
      <c r="L69" s="1832"/>
      <c r="M69" s="1832"/>
      <c r="N69" s="1832"/>
    </row>
    <row r="70" spans="2:14" s="310" customFormat="1" ht="13.8" x14ac:dyDescent="0.3">
      <c r="B70" s="1832" t="s">
        <v>766</v>
      </c>
      <c r="C70" s="1832"/>
      <c r="D70" s="1832"/>
      <c r="E70" s="1832"/>
      <c r="F70" s="1832"/>
      <c r="G70" s="1832"/>
      <c r="H70" s="1832"/>
      <c r="I70" s="1832"/>
      <c r="J70" s="1832"/>
      <c r="K70" s="1832"/>
      <c r="L70" s="1832"/>
      <c r="M70" s="1832"/>
      <c r="N70" s="1832"/>
    </row>
    <row r="71" spans="2:14" s="310" customFormat="1" ht="13.8" x14ac:dyDescent="0.3">
      <c r="B71" s="1832" t="s">
        <v>763</v>
      </c>
      <c r="C71" s="1832"/>
      <c r="D71" s="1832"/>
      <c r="E71" s="1832"/>
      <c r="F71" s="1832"/>
      <c r="G71" s="1833" t="s">
        <v>767</v>
      </c>
      <c r="H71" s="1834"/>
      <c r="I71" s="1835" t="s">
        <v>768</v>
      </c>
      <c r="J71" s="1836"/>
      <c r="K71" s="1837"/>
      <c r="L71" s="1832" t="s">
        <v>769</v>
      </c>
      <c r="M71" s="1832"/>
      <c r="N71" s="1832"/>
    </row>
    <row r="72" spans="2:14" s="310" customFormat="1" x14ac:dyDescent="0.3"/>
    <row r="74" spans="2:14" ht="9.6" customHeight="1" x14ac:dyDescent="0.3"/>
    <row r="75" spans="2:14" s="2564" customFormat="1" x14ac:dyDescent="0.3"/>
    <row r="76" spans="2:14" s="2564" customFormat="1" ht="26.4" hidden="1" x14ac:dyDescent="0.3">
      <c r="C76" s="2565" t="s">
        <v>1785</v>
      </c>
      <c r="D76" s="359" t="s">
        <v>726</v>
      </c>
    </row>
    <row r="77" spans="2:14" s="2564" customFormat="1" ht="26.4" hidden="1" x14ac:dyDescent="0.3">
      <c r="C77" s="2565" t="s">
        <v>1786</v>
      </c>
      <c r="D77" s="359" t="s">
        <v>730</v>
      </c>
    </row>
    <row r="78" spans="2:14" s="2564" customFormat="1" ht="26.4" hidden="1" x14ac:dyDescent="0.3">
      <c r="C78" s="2565" t="s">
        <v>1787</v>
      </c>
      <c r="D78" s="359" t="s">
        <v>734</v>
      </c>
    </row>
    <row r="79" spans="2:14" s="2564" customFormat="1" hidden="1" x14ac:dyDescent="0.3"/>
  </sheetData>
  <sheetProtection algorithmName="SHA-512" hashValue="njZ2y+uJ4urSgo0eOgrwWvAH7bktHUneA62qwqc4976mbLpZamJ9RhbeCytt3TMFfsOX3jeMql9evhucAELipQ==" saltValue="dUX3aHH4feE3YwLMM9t9lg==" spinCount="100000" sheet="1" objects="1" scenarios="1"/>
  <mergeCells count="49">
    <mergeCell ref="B14:I14"/>
    <mergeCell ref="B1:B2"/>
    <mergeCell ref="B3:I3"/>
    <mergeCell ref="B4:I4"/>
    <mergeCell ref="C5:I5"/>
    <mergeCell ref="C6:E6"/>
    <mergeCell ref="G6:I6"/>
    <mergeCell ref="C7:E7"/>
    <mergeCell ref="G7:I7"/>
    <mergeCell ref="B9:I9"/>
    <mergeCell ref="B11:I11"/>
    <mergeCell ref="B13:I13"/>
    <mergeCell ref="C1:H2"/>
    <mergeCell ref="F43:G43"/>
    <mergeCell ref="B15:G15"/>
    <mergeCell ref="H15:I15"/>
    <mergeCell ref="B24:I24"/>
    <mergeCell ref="B27:E27"/>
    <mergeCell ref="B32:I32"/>
    <mergeCell ref="B34:F34"/>
    <mergeCell ref="D35:F35"/>
    <mergeCell ref="D36:F37"/>
    <mergeCell ref="B39:I39"/>
    <mergeCell ref="B41:G41"/>
    <mergeCell ref="F42:G42"/>
    <mergeCell ref="B28:E28"/>
    <mergeCell ref="B63:N65"/>
    <mergeCell ref="F44:G45"/>
    <mergeCell ref="B47:G47"/>
    <mergeCell ref="B49:G49"/>
    <mergeCell ref="B53:G53"/>
    <mergeCell ref="B55:L55"/>
    <mergeCell ref="F56:L56"/>
    <mergeCell ref="B57:E57"/>
    <mergeCell ref="F57:G57"/>
    <mergeCell ref="H57:K57"/>
    <mergeCell ref="F58:G58"/>
    <mergeCell ref="H58:K58"/>
    <mergeCell ref="B66:K66"/>
    <mergeCell ref="L66:N66"/>
    <mergeCell ref="B67:N67"/>
    <mergeCell ref="B68:F69"/>
    <mergeCell ref="G68:K69"/>
    <mergeCell ref="L68:N69"/>
    <mergeCell ref="B70:N70"/>
    <mergeCell ref="B71:F71"/>
    <mergeCell ref="G71:H71"/>
    <mergeCell ref="I71:K71"/>
    <mergeCell ref="L71:N71"/>
  </mergeCells>
  <conditionalFormatting sqref="I1:I2">
    <cfRule type="cellIs" dxfId="171" priority="1" operator="equal">
      <formula>"INEXISTENTE"</formula>
    </cfRule>
    <cfRule type="cellIs" dxfId="170" priority="2" operator="equal">
      <formula>"INADECUADO"</formula>
    </cfRule>
    <cfRule type="cellIs" dxfId="169" priority="3" operator="equal">
      <formula>"PARCIALMENTE ADECUADO"</formula>
    </cfRule>
    <cfRule type="cellIs" dxfId="168" priority="4" operator="equal">
      <formula>"ADECUADO"</formula>
    </cfRule>
    <cfRule type="cellIs" dxfId="167" priority="5" operator="equal">
      <formula>"ERROR"</formula>
    </cfRule>
  </conditionalFormatting>
  <dataValidations count="10">
    <dataValidation type="list" allowBlank="1" showInputMessage="1" showErrorMessage="1" sqref="WVL983054 D30:D31 WLP983054 WBT983054 VRX983054 VIB983054 UYF983054 UOJ983054 UEN983054 TUR983054 TKV983054 TAZ983054 SRD983054 SHH983054 RXL983054 RNP983054 RDT983054 QTX983054 QKB983054 QAF983054 PQJ983054 PGN983054 OWR983054 OMV983054 OCZ983054 NTD983054 NJH983054 MZL983054 MPP983054 MFT983054 LVX983054 LMB983054 LCF983054 KSJ983054 KIN983054 JYR983054 JOV983054 JEZ983054 IVD983054 ILH983054 IBL983054 HRP983054 HHT983054 GXX983054 GOB983054 GEF983054 FUJ983054 FKN983054 FAR983054 EQV983054 EGZ983054 DXD983054 DNH983054 DDL983054 CTP983054 CJT983054 BZX983054 BQB983054 BGF983054 AWJ983054 AMN983054 ACR983054 SV983054 IZ983054 D983054 WVL917518 WLP917518 WBT917518 VRX917518 VIB917518 UYF917518 UOJ917518 UEN917518 TUR917518 TKV917518 TAZ917518 SRD917518 SHH917518 RXL917518 RNP917518 RDT917518 QTX917518 QKB917518 QAF917518 PQJ917518 PGN917518 OWR917518 OMV917518 OCZ917518 NTD917518 NJH917518 MZL917518 MPP917518 MFT917518 LVX917518 LMB917518 LCF917518 KSJ917518 KIN917518 JYR917518 JOV917518 JEZ917518 IVD917518 ILH917518 IBL917518 HRP917518 HHT917518 GXX917518 GOB917518 GEF917518 FUJ917518 FKN917518 FAR917518 EQV917518 EGZ917518 DXD917518 DNH917518 DDL917518 CTP917518 CJT917518 BZX917518 BQB917518 BGF917518 AWJ917518 AMN917518 ACR917518 SV917518 IZ917518 D917518 WVL851982 WLP851982 WBT851982 VRX851982 VIB851982 UYF851982 UOJ851982 UEN851982 TUR851982 TKV851982 TAZ851982 SRD851982 SHH851982 RXL851982 RNP851982 RDT851982 QTX851982 QKB851982 QAF851982 PQJ851982 PGN851982 OWR851982 OMV851982 OCZ851982 NTD851982 NJH851982 MZL851982 MPP851982 MFT851982 LVX851982 LMB851982 LCF851982 KSJ851982 KIN851982 JYR851982 JOV851982 JEZ851982 IVD851982 ILH851982 IBL851982 HRP851982 HHT851982 GXX851982 GOB851982 GEF851982 FUJ851982 FKN851982 FAR851982 EQV851982 EGZ851982 DXD851982 DNH851982 DDL851982 CTP851982 CJT851982 BZX851982 BQB851982 BGF851982 AWJ851982 AMN851982 ACR851982 SV851982 IZ851982 D851982 WVL786446 WLP786446 WBT786446 VRX786446 VIB786446 UYF786446 UOJ786446 UEN786446 TUR786446 TKV786446 TAZ786446 SRD786446 SHH786446 RXL786446 RNP786446 RDT786446 QTX786446 QKB786446 QAF786446 PQJ786446 PGN786446 OWR786446 OMV786446 OCZ786446 NTD786446 NJH786446 MZL786446 MPP786446 MFT786446 LVX786446 LMB786446 LCF786446 KSJ786446 KIN786446 JYR786446 JOV786446 JEZ786446 IVD786446 ILH786446 IBL786446 HRP786446 HHT786446 GXX786446 GOB786446 GEF786446 FUJ786446 FKN786446 FAR786446 EQV786446 EGZ786446 DXD786446 DNH786446 DDL786446 CTP786446 CJT786446 BZX786446 BQB786446 BGF786446 AWJ786446 AMN786446 ACR786446 SV786446 IZ786446 D786446 WVL720910 WLP720910 WBT720910 VRX720910 VIB720910 UYF720910 UOJ720910 UEN720910 TUR720910 TKV720910 TAZ720910 SRD720910 SHH720910 RXL720910 RNP720910 RDT720910 QTX720910 QKB720910 QAF720910 PQJ720910 PGN720910 OWR720910 OMV720910 OCZ720910 NTD720910 NJH720910 MZL720910 MPP720910 MFT720910 LVX720910 LMB720910 LCF720910 KSJ720910 KIN720910 JYR720910 JOV720910 JEZ720910 IVD720910 ILH720910 IBL720910 HRP720910 HHT720910 GXX720910 GOB720910 GEF720910 FUJ720910 FKN720910 FAR720910 EQV720910 EGZ720910 DXD720910 DNH720910 DDL720910 CTP720910 CJT720910 BZX720910 BQB720910 BGF720910 AWJ720910 AMN720910 ACR720910 SV720910 IZ720910 D720910 WVL655374 WLP655374 WBT655374 VRX655374 VIB655374 UYF655374 UOJ655374 UEN655374 TUR655374 TKV655374 TAZ655374 SRD655374 SHH655374 RXL655374 RNP655374 RDT655374 QTX655374 QKB655374 QAF655374 PQJ655374 PGN655374 OWR655374 OMV655374 OCZ655374 NTD655374 NJH655374 MZL655374 MPP655374 MFT655374 LVX655374 LMB655374 LCF655374 KSJ655374 KIN655374 JYR655374 JOV655374 JEZ655374 IVD655374 ILH655374 IBL655374 HRP655374 HHT655374 GXX655374 GOB655374 GEF655374 FUJ655374 FKN655374 FAR655374 EQV655374 EGZ655374 DXD655374 DNH655374 DDL655374 CTP655374 CJT655374 BZX655374 BQB655374 BGF655374 AWJ655374 AMN655374 ACR655374 SV655374 IZ655374 D655374 WVL589838 WLP589838 WBT589838 VRX589838 VIB589838 UYF589838 UOJ589838 UEN589838 TUR589838 TKV589838 TAZ589838 SRD589838 SHH589838 RXL589838 RNP589838 RDT589838 QTX589838 QKB589838 QAF589838 PQJ589838 PGN589838 OWR589838 OMV589838 OCZ589838 NTD589838 NJH589838 MZL589838 MPP589838 MFT589838 LVX589838 LMB589838 LCF589838 KSJ589838 KIN589838 JYR589838 JOV589838 JEZ589838 IVD589838 ILH589838 IBL589838 HRP589838 HHT589838 GXX589838 GOB589838 GEF589838 FUJ589838 FKN589838 FAR589838 EQV589838 EGZ589838 DXD589838 DNH589838 DDL589838 CTP589838 CJT589838 BZX589838 BQB589838 BGF589838 AWJ589838 AMN589838 ACR589838 SV589838 IZ589838 D589838 WVL524302 WLP524302 WBT524302 VRX524302 VIB524302 UYF524302 UOJ524302 UEN524302 TUR524302 TKV524302 TAZ524302 SRD524302 SHH524302 RXL524302 RNP524302 RDT524302 QTX524302 QKB524302 QAF524302 PQJ524302 PGN524302 OWR524302 OMV524302 OCZ524302 NTD524302 NJH524302 MZL524302 MPP524302 MFT524302 LVX524302 LMB524302 LCF524302 KSJ524302 KIN524302 JYR524302 JOV524302 JEZ524302 IVD524302 ILH524302 IBL524302 HRP524302 HHT524302 GXX524302 GOB524302 GEF524302 FUJ524302 FKN524302 FAR524302 EQV524302 EGZ524302 DXD524302 DNH524302 DDL524302 CTP524302 CJT524302 BZX524302 BQB524302 BGF524302 AWJ524302 AMN524302 ACR524302 SV524302 IZ524302 D524302 WVL458766 WLP458766 WBT458766 VRX458766 VIB458766 UYF458766 UOJ458766 UEN458766 TUR458766 TKV458766 TAZ458766 SRD458766 SHH458766 RXL458766 RNP458766 RDT458766 QTX458766 QKB458766 QAF458766 PQJ458766 PGN458766 OWR458766 OMV458766 OCZ458766 NTD458766 NJH458766 MZL458766 MPP458766 MFT458766 LVX458766 LMB458766 LCF458766 KSJ458766 KIN458766 JYR458766 JOV458766 JEZ458766 IVD458766 ILH458766 IBL458766 HRP458766 HHT458766 GXX458766 GOB458766 GEF458766 FUJ458766 FKN458766 FAR458766 EQV458766 EGZ458766 DXD458766 DNH458766 DDL458766 CTP458766 CJT458766 BZX458766 BQB458766 BGF458766 AWJ458766 AMN458766 ACR458766 SV458766 IZ458766 D458766 WVL393230 WLP393230 WBT393230 VRX393230 VIB393230 UYF393230 UOJ393230 UEN393230 TUR393230 TKV393230 TAZ393230 SRD393230 SHH393230 RXL393230 RNP393230 RDT393230 QTX393230 QKB393230 QAF393230 PQJ393230 PGN393230 OWR393230 OMV393230 OCZ393230 NTD393230 NJH393230 MZL393230 MPP393230 MFT393230 LVX393230 LMB393230 LCF393230 KSJ393230 KIN393230 JYR393230 JOV393230 JEZ393230 IVD393230 ILH393230 IBL393230 HRP393230 HHT393230 GXX393230 GOB393230 GEF393230 FUJ393230 FKN393230 FAR393230 EQV393230 EGZ393230 DXD393230 DNH393230 DDL393230 CTP393230 CJT393230 BZX393230 BQB393230 BGF393230 AWJ393230 AMN393230 ACR393230 SV393230 IZ393230 D393230 WVL327694 WLP327694 WBT327694 VRX327694 VIB327694 UYF327694 UOJ327694 UEN327694 TUR327694 TKV327694 TAZ327694 SRD327694 SHH327694 RXL327694 RNP327694 RDT327694 QTX327694 QKB327694 QAF327694 PQJ327694 PGN327694 OWR327694 OMV327694 OCZ327694 NTD327694 NJH327694 MZL327694 MPP327694 MFT327694 LVX327694 LMB327694 LCF327694 KSJ327694 KIN327694 JYR327694 JOV327694 JEZ327694 IVD327694 ILH327694 IBL327694 HRP327694 HHT327694 GXX327694 GOB327694 GEF327694 FUJ327694 FKN327694 FAR327694 EQV327694 EGZ327694 DXD327694 DNH327694 DDL327694 CTP327694 CJT327694 BZX327694 BQB327694 BGF327694 AWJ327694 AMN327694 ACR327694 SV327694 IZ327694 D327694 WVL262158 WLP262158 WBT262158 VRX262158 VIB262158 UYF262158 UOJ262158 UEN262158 TUR262158 TKV262158 TAZ262158 SRD262158 SHH262158 RXL262158 RNP262158 RDT262158 QTX262158 QKB262158 QAF262158 PQJ262158 PGN262158 OWR262158 OMV262158 OCZ262158 NTD262158 NJH262158 MZL262158 MPP262158 MFT262158 LVX262158 LMB262158 LCF262158 KSJ262158 KIN262158 JYR262158 JOV262158 JEZ262158 IVD262158 ILH262158 IBL262158 HRP262158 HHT262158 GXX262158 GOB262158 GEF262158 FUJ262158 FKN262158 FAR262158 EQV262158 EGZ262158 DXD262158 DNH262158 DDL262158 CTP262158 CJT262158 BZX262158 BQB262158 BGF262158 AWJ262158 AMN262158 ACR262158 SV262158 IZ262158 D262158 WVL196622 WLP196622 WBT196622 VRX196622 VIB196622 UYF196622 UOJ196622 UEN196622 TUR196622 TKV196622 TAZ196622 SRD196622 SHH196622 RXL196622 RNP196622 RDT196622 QTX196622 QKB196622 QAF196622 PQJ196622 PGN196622 OWR196622 OMV196622 OCZ196622 NTD196622 NJH196622 MZL196622 MPP196622 MFT196622 LVX196622 LMB196622 LCF196622 KSJ196622 KIN196622 JYR196622 JOV196622 JEZ196622 IVD196622 ILH196622 IBL196622 HRP196622 HHT196622 GXX196622 GOB196622 GEF196622 FUJ196622 FKN196622 FAR196622 EQV196622 EGZ196622 DXD196622 DNH196622 DDL196622 CTP196622 CJT196622 BZX196622 BQB196622 BGF196622 AWJ196622 AMN196622 ACR196622 SV196622 IZ196622 D196622 WVL131086 WLP131086 WBT131086 VRX131086 VIB131086 UYF131086 UOJ131086 UEN131086 TUR131086 TKV131086 TAZ131086 SRD131086 SHH131086 RXL131086 RNP131086 RDT131086 QTX131086 QKB131086 QAF131086 PQJ131086 PGN131086 OWR131086 OMV131086 OCZ131086 NTD131086 NJH131086 MZL131086 MPP131086 MFT131086 LVX131086 LMB131086 LCF131086 KSJ131086 KIN131086 JYR131086 JOV131086 JEZ131086 IVD131086 ILH131086 IBL131086 HRP131086 HHT131086 GXX131086 GOB131086 GEF131086 FUJ131086 FKN131086 FAR131086 EQV131086 EGZ131086 DXD131086 DNH131086 DDL131086 CTP131086 CJT131086 BZX131086 BQB131086 BGF131086 AWJ131086 AMN131086 ACR131086 SV131086 IZ131086 D131086 WVL65550 WLP65550 WBT65550 VRX65550 VIB65550 UYF65550 UOJ65550 UEN65550 TUR65550 TKV65550 TAZ65550 SRD65550 SHH65550 RXL65550 RNP65550 RDT65550 QTX65550 QKB65550 QAF65550 PQJ65550 PGN65550 OWR65550 OMV65550 OCZ65550 NTD65550 NJH65550 MZL65550 MPP65550 MFT65550 LVX65550 LMB65550 LCF65550 KSJ65550 KIN65550 JYR65550 JOV65550 JEZ65550 IVD65550 ILH65550 IBL65550 HRP65550 HHT65550 GXX65550 GOB65550 GEF65550 FUJ65550 FKN65550 FAR65550 EQV65550 EGZ65550 DXD65550 DNH65550 DDL65550 CTP65550 CJT65550 BZX65550 BQB65550 BGF65550 AWJ65550 AMN65550 ACR65550 SV65550 IZ65550 D65550 WVL30:WVL32 WLP30:WLP32 WBT30:WBT32 VRX30:VRX32 VIB30:VIB32 UYF30:UYF32 UOJ30:UOJ32 UEN30:UEN32 TUR30:TUR32 TKV30:TKV32 TAZ30:TAZ32 SRD30:SRD32 SHH30:SHH32 RXL30:RXL32 RNP30:RNP32 RDT30:RDT32 QTX30:QTX32 QKB30:QKB32 QAF30:QAF32 PQJ30:PQJ32 PGN30:PGN32 OWR30:OWR32 OMV30:OMV32 OCZ30:OCZ32 NTD30:NTD32 NJH30:NJH32 MZL30:MZL32 MPP30:MPP32 MFT30:MFT32 LVX30:LVX32 LMB30:LMB32 LCF30:LCF32 KSJ30:KSJ32 KIN30:KIN32 JYR30:JYR32 JOV30:JOV32 JEZ30:JEZ32 IVD30:IVD32 ILH30:ILH32 IBL30:IBL32 HRP30:HRP32 HHT30:HHT32 GXX30:GXX32 GOB30:GOB32 GEF30:GEF32 FUJ30:FUJ32 FKN30:FKN32 FAR30:FAR32 EQV30:EQV32 EGZ30:EGZ32 DXD30:DXD32 DNH30:DNH32 DDL30:DDL32 CTP30:CTP32 CJT30:CJT32 BZX30:BZX32 BQB30:BQB32 BGF30:BGF32 AWJ30:AWJ32 AMN30:AMN32 ACR30:ACR32 SV30:SV32 IZ30:IZ32">
      <formula1>$F$17:$F$19</formula1>
    </dataValidation>
    <dataValidation type="list" allowBlank="1" showInputMessage="1" showErrorMessage="1" sqref="IY30:IY32 WVK983054 WLO983054 WBS983054 VRW983054 VIA983054 UYE983054 UOI983054 UEM983054 TUQ983054 TKU983054 TAY983054 SRC983054 SHG983054 RXK983054 RNO983054 RDS983054 QTW983054 QKA983054 QAE983054 PQI983054 PGM983054 OWQ983054 OMU983054 OCY983054 NTC983054 NJG983054 MZK983054 MPO983054 MFS983054 LVW983054 LMA983054 LCE983054 KSI983054 KIM983054 JYQ983054 JOU983054 JEY983054 IVC983054 ILG983054 IBK983054 HRO983054 HHS983054 GXW983054 GOA983054 GEE983054 FUI983054 FKM983054 FAQ983054 EQU983054 EGY983054 DXC983054 DNG983054 DDK983054 CTO983054 CJS983054 BZW983054 BQA983054 BGE983054 AWI983054 AMM983054 ACQ983054 SU983054 IY983054 C983054 WVK917518 WLO917518 WBS917518 VRW917518 VIA917518 UYE917518 UOI917518 UEM917518 TUQ917518 TKU917518 TAY917518 SRC917518 SHG917518 RXK917518 RNO917518 RDS917518 QTW917518 QKA917518 QAE917518 PQI917518 PGM917518 OWQ917518 OMU917518 OCY917518 NTC917518 NJG917518 MZK917518 MPO917518 MFS917518 LVW917518 LMA917518 LCE917518 KSI917518 KIM917518 JYQ917518 JOU917518 JEY917518 IVC917518 ILG917518 IBK917518 HRO917518 HHS917518 GXW917518 GOA917518 GEE917518 FUI917518 FKM917518 FAQ917518 EQU917518 EGY917518 DXC917518 DNG917518 DDK917518 CTO917518 CJS917518 BZW917518 BQA917518 BGE917518 AWI917518 AMM917518 ACQ917518 SU917518 IY917518 C917518 WVK851982 WLO851982 WBS851982 VRW851982 VIA851982 UYE851982 UOI851982 UEM851982 TUQ851982 TKU851982 TAY851982 SRC851982 SHG851982 RXK851982 RNO851982 RDS851982 QTW851982 QKA851982 QAE851982 PQI851982 PGM851982 OWQ851982 OMU851982 OCY851982 NTC851982 NJG851982 MZK851982 MPO851982 MFS851982 LVW851982 LMA851982 LCE851982 KSI851982 KIM851982 JYQ851982 JOU851982 JEY851982 IVC851982 ILG851982 IBK851982 HRO851982 HHS851982 GXW851982 GOA851982 GEE851982 FUI851982 FKM851982 FAQ851982 EQU851982 EGY851982 DXC851982 DNG851982 DDK851982 CTO851982 CJS851982 BZW851982 BQA851982 BGE851982 AWI851982 AMM851982 ACQ851982 SU851982 IY851982 C851982 WVK786446 WLO786446 WBS786446 VRW786446 VIA786446 UYE786446 UOI786446 UEM786446 TUQ786446 TKU786446 TAY786446 SRC786446 SHG786446 RXK786446 RNO786446 RDS786446 QTW786446 QKA786446 QAE786446 PQI786446 PGM786446 OWQ786446 OMU786446 OCY786446 NTC786446 NJG786446 MZK786446 MPO786446 MFS786446 LVW786446 LMA786446 LCE786446 KSI786446 KIM786446 JYQ786446 JOU786446 JEY786446 IVC786446 ILG786446 IBK786446 HRO786446 HHS786446 GXW786446 GOA786446 GEE786446 FUI786446 FKM786446 FAQ786446 EQU786446 EGY786446 DXC786446 DNG786446 DDK786446 CTO786446 CJS786446 BZW786446 BQA786446 BGE786446 AWI786446 AMM786446 ACQ786446 SU786446 IY786446 C786446 WVK720910 WLO720910 WBS720910 VRW720910 VIA720910 UYE720910 UOI720910 UEM720910 TUQ720910 TKU720910 TAY720910 SRC720910 SHG720910 RXK720910 RNO720910 RDS720910 QTW720910 QKA720910 QAE720910 PQI720910 PGM720910 OWQ720910 OMU720910 OCY720910 NTC720910 NJG720910 MZK720910 MPO720910 MFS720910 LVW720910 LMA720910 LCE720910 KSI720910 KIM720910 JYQ720910 JOU720910 JEY720910 IVC720910 ILG720910 IBK720910 HRO720910 HHS720910 GXW720910 GOA720910 GEE720910 FUI720910 FKM720910 FAQ720910 EQU720910 EGY720910 DXC720910 DNG720910 DDK720910 CTO720910 CJS720910 BZW720910 BQA720910 BGE720910 AWI720910 AMM720910 ACQ720910 SU720910 IY720910 C720910 WVK655374 WLO655374 WBS655374 VRW655374 VIA655374 UYE655374 UOI655374 UEM655374 TUQ655374 TKU655374 TAY655374 SRC655374 SHG655374 RXK655374 RNO655374 RDS655374 QTW655374 QKA655374 QAE655374 PQI655374 PGM655374 OWQ655374 OMU655374 OCY655374 NTC655374 NJG655374 MZK655374 MPO655374 MFS655374 LVW655374 LMA655374 LCE655374 KSI655374 KIM655374 JYQ655374 JOU655374 JEY655374 IVC655374 ILG655374 IBK655374 HRO655374 HHS655374 GXW655374 GOA655374 GEE655374 FUI655374 FKM655374 FAQ655374 EQU655374 EGY655374 DXC655374 DNG655374 DDK655374 CTO655374 CJS655374 BZW655374 BQA655374 BGE655374 AWI655374 AMM655374 ACQ655374 SU655374 IY655374 C655374 WVK589838 WLO589838 WBS589838 VRW589838 VIA589838 UYE589838 UOI589838 UEM589838 TUQ589838 TKU589838 TAY589838 SRC589838 SHG589838 RXK589838 RNO589838 RDS589838 QTW589838 QKA589838 QAE589838 PQI589838 PGM589838 OWQ589838 OMU589838 OCY589838 NTC589838 NJG589838 MZK589838 MPO589838 MFS589838 LVW589838 LMA589838 LCE589838 KSI589838 KIM589838 JYQ589838 JOU589838 JEY589838 IVC589838 ILG589838 IBK589838 HRO589838 HHS589838 GXW589838 GOA589838 GEE589838 FUI589838 FKM589838 FAQ589838 EQU589838 EGY589838 DXC589838 DNG589838 DDK589838 CTO589838 CJS589838 BZW589838 BQA589838 BGE589838 AWI589838 AMM589838 ACQ589838 SU589838 IY589838 C589838 WVK524302 WLO524302 WBS524302 VRW524302 VIA524302 UYE524302 UOI524302 UEM524302 TUQ524302 TKU524302 TAY524302 SRC524302 SHG524302 RXK524302 RNO524302 RDS524302 QTW524302 QKA524302 QAE524302 PQI524302 PGM524302 OWQ524302 OMU524302 OCY524302 NTC524302 NJG524302 MZK524302 MPO524302 MFS524302 LVW524302 LMA524302 LCE524302 KSI524302 KIM524302 JYQ524302 JOU524302 JEY524302 IVC524302 ILG524302 IBK524302 HRO524302 HHS524302 GXW524302 GOA524302 GEE524302 FUI524302 FKM524302 FAQ524302 EQU524302 EGY524302 DXC524302 DNG524302 DDK524302 CTO524302 CJS524302 BZW524302 BQA524302 BGE524302 AWI524302 AMM524302 ACQ524302 SU524302 IY524302 C524302 WVK458766 WLO458766 WBS458766 VRW458766 VIA458766 UYE458766 UOI458766 UEM458766 TUQ458766 TKU458766 TAY458766 SRC458766 SHG458766 RXK458766 RNO458766 RDS458766 QTW458766 QKA458766 QAE458766 PQI458766 PGM458766 OWQ458766 OMU458766 OCY458766 NTC458766 NJG458766 MZK458766 MPO458766 MFS458766 LVW458766 LMA458766 LCE458766 KSI458766 KIM458766 JYQ458766 JOU458766 JEY458766 IVC458766 ILG458766 IBK458766 HRO458766 HHS458766 GXW458766 GOA458766 GEE458766 FUI458766 FKM458766 FAQ458766 EQU458766 EGY458766 DXC458766 DNG458766 DDK458766 CTO458766 CJS458766 BZW458766 BQA458766 BGE458766 AWI458766 AMM458766 ACQ458766 SU458766 IY458766 C458766 WVK393230 WLO393230 WBS393230 VRW393230 VIA393230 UYE393230 UOI393230 UEM393230 TUQ393230 TKU393230 TAY393230 SRC393230 SHG393230 RXK393230 RNO393230 RDS393230 QTW393230 QKA393230 QAE393230 PQI393230 PGM393230 OWQ393230 OMU393230 OCY393230 NTC393230 NJG393230 MZK393230 MPO393230 MFS393230 LVW393230 LMA393230 LCE393230 KSI393230 KIM393230 JYQ393230 JOU393230 JEY393230 IVC393230 ILG393230 IBK393230 HRO393230 HHS393230 GXW393230 GOA393230 GEE393230 FUI393230 FKM393230 FAQ393230 EQU393230 EGY393230 DXC393230 DNG393230 DDK393230 CTO393230 CJS393230 BZW393230 BQA393230 BGE393230 AWI393230 AMM393230 ACQ393230 SU393230 IY393230 C393230 WVK327694 WLO327694 WBS327694 VRW327694 VIA327694 UYE327694 UOI327694 UEM327694 TUQ327694 TKU327694 TAY327694 SRC327694 SHG327694 RXK327694 RNO327694 RDS327694 QTW327694 QKA327694 QAE327694 PQI327694 PGM327694 OWQ327694 OMU327694 OCY327694 NTC327694 NJG327694 MZK327694 MPO327694 MFS327694 LVW327694 LMA327694 LCE327694 KSI327694 KIM327694 JYQ327694 JOU327694 JEY327694 IVC327694 ILG327694 IBK327694 HRO327694 HHS327694 GXW327694 GOA327694 GEE327694 FUI327694 FKM327694 FAQ327694 EQU327694 EGY327694 DXC327694 DNG327694 DDK327694 CTO327694 CJS327694 BZW327694 BQA327694 BGE327694 AWI327694 AMM327694 ACQ327694 SU327694 IY327694 C327694 WVK262158 WLO262158 WBS262158 VRW262158 VIA262158 UYE262158 UOI262158 UEM262158 TUQ262158 TKU262158 TAY262158 SRC262158 SHG262158 RXK262158 RNO262158 RDS262158 QTW262158 QKA262158 QAE262158 PQI262158 PGM262158 OWQ262158 OMU262158 OCY262158 NTC262158 NJG262158 MZK262158 MPO262158 MFS262158 LVW262158 LMA262158 LCE262158 KSI262158 KIM262158 JYQ262158 JOU262158 JEY262158 IVC262158 ILG262158 IBK262158 HRO262158 HHS262158 GXW262158 GOA262158 GEE262158 FUI262158 FKM262158 FAQ262158 EQU262158 EGY262158 DXC262158 DNG262158 DDK262158 CTO262158 CJS262158 BZW262158 BQA262158 BGE262158 AWI262158 AMM262158 ACQ262158 SU262158 IY262158 C262158 WVK196622 WLO196622 WBS196622 VRW196622 VIA196622 UYE196622 UOI196622 UEM196622 TUQ196622 TKU196622 TAY196622 SRC196622 SHG196622 RXK196622 RNO196622 RDS196622 QTW196622 QKA196622 QAE196622 PQI196622 PGM196622 OWQ196622 OMU196622 OCY196622 NTC196622 NJG196622 MZK196622 MPO196622 MFS196622 LVW196622 LMA196622 LCE196622 KSI196622 KIM196622 JYQ196622 JOU196622 JEY196622 IVC196622 ILG196622 IBK196622 HRO196622 HHS196622 GXW196622 GOA196622 GEE196622 FUI196622 FKM196622 FAQ196622 EQU196622 EGY196622 DXC196622 DNG196622 DDK196622 CTO196622 CJS196622 BZW196622 BQA196622 BGE196622 AWI196622 AMM196622 ACQ196622 SU196622 IY196622 C196622 WVK131086 WLO131086 WBS131086 VRW131086 VIA131086 UYE131086 UOI131086 UEM131086 TUQ131086 TKU131086 TAY131086 SRC131086 SHG131086 RXK131086 RNO131086 RDS131086 QTW131086 QKA131086 QAE131086 PQI131086 PGM131086 OWQ131086 OMU131086 OCY131086 NTC131086 NJG131086 MZK131086 MPO131086 MFS131086 LVW131086 LMA131086 LCE131086 KSI131086 KIM131086 JYQ131086 JOU131086 JEY131086 IVC131086 ILG131086 IBK131086 HRO131086 HHS131086 GXW131086 GOA131086 GEE131086 FUI131086 FKM131086 FAQ131086 EQU131086 EGY131086 DXC131086 DNG131086 DDK131086 CTO131086 CJS131086 BZW131086 BQA131086 BGE131086 AWI131086 AMM131086 ACQ131086 SU131086 IY131086 C131086 WVK65550 WLO65550 WBS65550 VRW65550 VIA65550 UYE65550 UOI65550 UEM65550 TUQ65550 TKU65550 TAY65550 SRC65550 SHG65550 RXK65550 RNO65550 RDS65550 QTW65550 QKA65550 QAE65550 PQI65550 PGM65550 OWQ65550 OMU65550 OCY65550 NTC65550 NJG65550 MZK65550 MPO65550 MFS65550 LVW65550 LMA65550 LCE65550 KSI65550 KIM65550 JYQ65550 JOU65550 JEY65550 IVC65550 ILG65550 IBK65550 HRO65550 HHS65550 GXW65550 GOA65550 GEE65550 FUI65550 FKM65550 FAQ65550 EQU65550 EGY65550 DXC65550 DNG65550 DDK65550 CTO65550 CJS65550 BZW65550 BQA65550 BGE65550 AWI65550 AMM65550 ACQ65550 SU65550 IY65550 C65550 WVK30:WVK32 WLO30:WLO32 WBS30:WBS32 VRW30:VRW32 VIA30:VIA32 UYE30:UYE32 UOI30:UOI32 UEM30:UEM32 TUQ30:TUQ32 TKU30:TKU32 TAY30:TAY32 SRC30:SRC32 SHG30:SHG32 RXK30:RXK32 RNO30:RNO32 RDS30:RDS32 QTW30:QTW32 QKA30:QKA32 QAE30:QAE32 PQI30:PQI32 PGM30:PGM32 OWQ30:OWQ32 OMU30:OMU32 OCY30:OCY32 NTC30:NTC32 NJG30:NJG32 MZK30:MZK32 MPO30:MPO32 MFS30:MFS32 LVW30:LVW32 LMA30:LMA32 LCE30:LCE32 KSI30:KSI32 KIM30:KIM32 JYQ30:JYQ32 JOU30:JOU32 JEY30:JEY32 IVC30:IVC32 ILG30:ILG32 IBK30:IBK32 HRO30:HRO32 HHS30:HHS32 GXW30:GXW32 GOA30:GOA32 GEE30:GEE32 FUI30:FUI32 FKM30:FKM32 FAQ30:FAQ32 EQU30:EQU32 EGY30:EGY32 DXC30:DXC32 DNG30:DNG32 DDK30:DDK32 CTO30:CTO32 CJS30:CJS32 BZW30:BZW32 BQA30:BQA32 BGE30:BGE32 AWI30:AWI32 AMM30:AMM32 ACQ30:ACQ32 SU30:SU32">
      <formula1>$D$17:$D$20</formula1>
    </dataValidation>
    <dataValidation type="list" allowBlank="1" showInputMessage="1" showErrorMessage="1" sqref="WVJ983054 B30:B31 WLN983054 WBR983054 VRV983054 VHZ983054 UYD983054 UOH983054 UEL983054 TUP983054 TKT983054 TAX983054 SRB983054 SHF983054 RXJ983054 RNN983054 RDR983054 QTV983054 QJZ983054 QAD983054 PQH983054 PGL983054 OWP983054 OMT983054 OCX983054 NTB983054 NJF983054 MZJ983054 MPN983054 MFR983054 LVV983054 LLZ983054 LCD983054 KSH983054 KIL983054 JYP983054 JOT983054 JEX983054 IVB983054 ILF983054 IBJ983054 HRN983054 HHR983054 GXV983054 GNZ983054 GED983054 FUH983054 FKL983054 FAP983054 EQT983054 EGX983054 DXB983054 DNF983054 DDJ983054 CTN983054 CJR983054 BZV983054 BPZ983054 BGD983054 AWH983054 AML983054 ACP983054 ST983054 IX983054 B983054 WVJ917518 WLN917518 WBR917518 VRV917518 VHZ917518 UYD917518 UOH917518 UEL917518 TUP917518 TKT917518 TAX917518 SRB917518 SHF917518 RXJ917518 RNN917518 RDR917518 QTV917518 QJZ917518 QAD917518 PQH917518 PGL917518 OWP917518 OMT917518 OCX917518 NTB917518 NJF917518 MZJ917518 MPN917518 MFR917518 LVV917518 LLZ917518 LCD917518 KSH917518 KIL917518 JYP917518 JOT917518 JEX917518 IVB917518 ILF917518 IBJ917518 HRN917518 HHR917518 GXV917518 GNZ917518 GED917518 FUH917518 FKL917518 FAP917518 EQT917518 EGX917518 DXB917518 DNF917518 DDJ917518 CTN917518 CJR917518 BZV917518 BPZ917518 BGD917518 AWH917518 AML917518 ACP917518 ST917518 IX917518 B917518 WVJ851982 WLN851982 WBR851982 VRV851982 VHZ851982 UYD851982 UOH851982 UEL851982 TUP851982 TKT851982 TAX851982 SRB851982 SHF851982 RXJ851982 RNN851982 RDR851982 QTV851982 QJZ851982 QAD851982 PQH851982 PGL851982 OWP851982 OMT851982 OCX851982 NTB851982 NJF851982 MZJ851982 MPN851982 MFR851982 LVV851982 LLZ851982 LCD851982 KSH851982 KIL851982 JYP851982 JOT851982 JEX851982 IVB851982 ILF851982 IBJ851982 HRN851982 HHR851982 GXV851982 GNZ851982 GED851982 FUH851982 FKL851982 FAP851982 EQT851982 EGX851982 DXB851982 DNF851982 DDJ851982 CTN851982 CJR851982 BZV851982 BPZ851982 BGD851982 AWH851982 AML851982 ACP851982 ST851982 IX851982 B851982 WVJ786446 WLN786446 WBR786446 VRV786446 VHZ786446 UYD786446 UOH786446 UEL786446 TUP786446 TKT786446 TAX786446 SRB786446 SHF786446 RXJ786446 RNN786446 RDR786446 QTV786446 QJZ786446 QAD786446 PQH786446 PGL786446 OWP786446 OMT786446 OCX786446 NTB786446 NJF786446 MZJ786446 MPN786446 MFR786446 LVV786446 LLZ786446 LCD786446 KSH786446 KIL786446 JYP786446 JOT786446 JEX786446 IVB786446 ILF786446 IBJ786446 HRN786446 HHR786446 GXV786446 GNZ786446 GED786446 FUH786446 FKL786446 FAP786446 EQT786446 EGX786446 DXB786446 DNF786446 DDJ786446 CTN786446 CJR786446 BZV786446 BPZ786446 BGD786446 AWH786446 AML786446 ACP786446 ST786446 IX786446 B786446 WVJ720910 WLN720910 WBR720910 VRV720910 VHZ720910 UYD720910 UOH720910 UEL720910 TUP720910 TKT720910 TAX720910 SRB720910 SHF720910 RXJ720910 RNN720910 RDR720910 QTV720910 QJZ720910 QAD720910 PQH720910 PGL720910 OWP720910 OMT720910 OCX720910 NTB720910 NJF720910 MZJ720910 MPN720910 MFR720910 LVV720910 LLZ720910 LCD720910 KSH720910 KIL720910 JYP720910 JOT720910 JEX720910 IVB720910 ILF720910 IBJ720910 HRN720910 HHR720910 GXV720910 GNZ720910 GED720910 FUH720910 FKL720910 FAP720910 EQT720910 EGX720910 DXB720910 DNF720910 DDJ720910 CTN720910 CJR720910 BZV720910 BPZ720910 BGD720910 AWH720910 AML720910 ACP720910 ST720910 IX720910 B720910 WVJ655374 WLN655374 WBR655374 VRV655374 VHZ655374 UYD655374 UOH655374 UEL655374 TUP655374 TKT655374 TAX655374 SRB655374 SHF655374 RXJ655374 RNN655374 RDR655374 QTV655374 QJZ655374 QAD655374 PQH655374 PGL655374 OWP655374 OMT655374 OCX655374 NTB655374 NJF655374 MZJ655374 MPN655374 MFR655374 LVV655374 LLZ655374 LCD655374 KSH655374 KIL655374 JYP655374 JOT655374 JEX655374 IVB655374 ILF655374 IBJ655374 HRN655374 HHR655374 GXV655374 GNZ655374 GED655374 FUH655374 FKL655374 FAP655374 EQT655374 EGX655374 DXB655374 DNF655374 DDJ655374 CTN655374 CJR655374 BZV655374 BPZ655374 BGD655374 AWH655374 AML655374 ACP655374 ST655374 IX655374 B655374 WVJ589838 WLN589838 WBR589838 VRV589838 VHZ589838 UYD589838 UOH589838 UEL589838 TUP589838 TKT589838 TAX589838 SRB589838 SHF589838 RXJ589838 RNN589838 RDR589838 QTV589838 QJZ589838 QAD589838 PQH589838 PGL589838 OWP589838 OMT589838 OCX589838 NTB589838 NJF589838 MZJ589838 MPN589838 MFR589838 LVV589838 LLZ589838 LCD589838 KSH589838 KIL589838 JYP589838 JOT589838 JEX589838 IVB589838 ILF589838 IBJ589838 HRN589838 HHR589838 GXV589838 GNZ589838 GED589838 FUH589838 FKL589838 FAP589838 EQT589838 EGX589838 DXB589838 DNF589838 DDJ589838 CTN589838 CJR589838 BZV589838 BPZ589838 BGD589838 AWH589838 AML589838 ACP589838 ST589838 IX589838 B589838 WVJ524302 WLN524302 WBR524302 VRV524302 VHZ524302 UYD524302 UOH524302 UEL524302 TUP524302 TKT524302 TAX524302 SRB524302 SHF524302 RXJ524302 RNN524302 RDR524302 QTV524302 QJZ524302 QAD524302 PQH524302 PGL524302 OWP524302 OMT524302 OCX524302 NTB524302 NJF524302 MZJ524302 MPN524302 MFR524302 LVV524302 LLZ524302 LCD524302 KSH524302 KIL524302 JYP524302 JOT524302 JEX524302 IVB524302 ILF524302 IBJ524302 HRN524302 HHR524302 GXV524302 GNZ524302 GED524302 FUH524302 FKL524302 FAP524302 EQT524302 EGX524302 DXB524302 DNF524302 DDJ524302 CTN524302 CJR524302 BZV524302 BPZ524302 BGD524302 AWH524302 AML524302 ACP524302 ST524302 IX524302 B524302 WVJ458766 WLN458766 WBR458766 VRV458766 VHZ458766 UYD458766 UOH458766 UEL458766 TUP458766 TKT458766 TAX458766 SRB458766 SHF458766 RXJ458766 RNN458766 RDR458766 QTV458766 QJZ458766 QAD458766 PQH458766 PGL458766 OWP458766 OMT458766 OCX458766 NTB458766 NJF458766 MZJ458766 MPN458766 MFR458766 LVV458766 LLZ458766 LCD458766 KSH458766 KIL458766 JYP458766 JOT458766 JEX458766 IVB458766 ILF458766 IBJ458766 HRN458766 HHR458766 GXV458766 GNZ458766 GED458766 FUH458766 FKL458766 FAP458766 EQT458766 EGX458766 DXB458766 DNF458766 DDJ458766 CTN458766 CJR458766 BZV458766 BPZ458766 BGD458766 AWH458766 AML458766 ACP458766 ST458766 IX458766 B458766 WVJ393230 WLN393230 WBR393230 VRV393230 VHZ393230 UYD393230 UOH393230 UEL393230 TUP393230 TKT393230 TAX393230 SRB393230 SHF393230 RXJ393230 RNN393230 RDR393230 QTV393230 QJZ393230 QAD393230 PQH393230 PGL393230 OWP393230 OMT393230 OCX393230 NTB393230 NJF393230 MZJ393230 MPN393230 MFR393230 LVV393230 LLZ393230 LCD393230 KSH393230 KIL393230 JYP393230 JOT393230 JEX393230 IVB393230 ILF393230 IBJ393230 HRN393230 HHR393230 GXV393230 GNZ393230 GED393230 FUH393230 FKL393230 FAP393230 EQT393230 EGX393230 DXB393230 DNF393230 DDJ393230 CTN393230 CJR393230 BZV393230 BPZ393230 BGD393230 AWH393230 AML393230 ACP393230 ST393230 IX393230 B393230 WVJ327694 WLN327694 WBR327694 VRV327694 VHZ327694 UYD327694 UOH327694 UEL327694 TUP327694 TKT327694 TAX327694 SRB327694 SHF327694 RXJ327694 RNN327694 RDR327694 QTV327694 QJZ327694 QAD327694 PQH327694 PGL327694 OWP327694 OMT327694 OCX327694 NTB327694 NJF327694 MZJ327694 MPN327694 MFR327694 LVV327694 LLZ327694 LCD327694 KSH327694 KIL327694 JYP327694 JOT327694 JEX327694 IVB327694 ILF327694 IBJ327694 HRN327694 HHR327694 GXV327694 GNZ327694 GED327694 FUH327694 FKL327694 FAP327694 EQT327694 EGX327694 DXB327694 DNF327694 DDJ327694 CTN327694 CJR327694 BZV327694 BPZ327694 BGD327694 AWH327694 AML327694 ACP327694 ST327694 IX327694 B327694 WVJ262158 WLN262158 WBR262158 VRV262158 VHZ262158 UYD262158 UOH262158 UEL262158 TUP262158 TKT262158 TAX262158 SRB262158 SHF262158 RXJ262158 RNN262158 RDR262158 QTV262158 QJZ262158 QAD262158 PQH262158 PGL262158 OWP262158 OMT262158 OCX262158 NTB262158 NJF262158 MZJ262158 MPN262158 MFR262158 LVV262158 LLZ262158 LCD262158 KSH262158 KIL262158 JYP262158 JOT262158 JEX262158 IVB262158 ILF262158 IBJ262158 HRN262158 HHR262158 GXV262158 GNZ262158 GED262158 FUH262158 FKL262158 FAP262158 EQT262158 EGX262158 DXB262158 DNF262158 DDJ262158 CTN262158 CJR262158 BZV262158 BPZ262158 BGD262158 AWH262158 AML262158 ACP262158 ST262158 IX262158 B262158 WVJ196622 WLN196622 WBR196622 VRV196622 VHZ196622 UYD196622 UOH196622 UEL196622 TUP196622 TKT196622 TAX196622 SRB196622 SHF196622 RXJ196622 RNN196622 RDR196622 QTV196622 QJZ196622 QAD196622 PQH196622 PGL196622 OWP196622 OMT196622 OCX196622 NTB196622 NJF196622 MZJ196622 MPN196622 MFR196622 LVV196622 LLZ196622 LCD196622 KSH196622 KIL196622 JYP196622 JOT196622 JEX196622 IVB196622 ILF196622 IBJ196622 HRN196622 HHR196622 GXV196622 GNZ196622 GED196622 FUH196622 FKL196622 FAP196622 EQT196622 EGX196622 DXB196622 DNF196622 DDJ196622 CTN196622 CJR196622 BZV196622 BPZ196622 BGD196622 AWH196622 AML196622 ACP196622 ST196622 IX196622 B196622 WVJ131086 WLN131086 WBR131086 VRV131086 VHZ131086 UYD131086 UOH131086 UEL131086 TUP131086 TKT131086 TAX131086 SRB131086 SHF131086 RXJ131086 RNN131086 RDR131086 QTV131086 QJZ131086 QAD131086 PQH131086 PGL131086 OWP131086 OMT131086 OCX131086 NTB131086 NJF131086 MZJ131086 MPN131086 MFR131086 LVV131086 LLZ131086 LCD131086 KSH131086 KIL131086 JYP131086 JOT131086 JEX131086 IVB131086 ILF131086 IBJ131086 HRN131086 HHR131086 GXV131086 GNZ131086 GED131086 FUH131086 FKL131086 FAP131086 EQT131086 EGX131086 DXB131086 DNF131086 DDJ131086 CTN131086 CJR131086 BZV131086 BPZ131086 BGD131086 AWH131086 AML131086 ACP131086 ST131086 IX131086 B131086 WVJ65550 WLN65550 WBR65550 VRV65550 VHZ65550 UYD65550 UOH65550 UEL65550 TUP65550 TKT65550 TAX65550 SRB65550 SHF65550 RXJ65550 RNN65550 RDR65550 QTV65550 QJZ65550 QAD65550 PQH65550 PGL65550 OWP65550 OMT65550 OCX65550 NTB65550 NJF65550 MZJ65550 MPN65550 MFR65550 LVV65550 LLZ65550 LCD65550 KSH65550 KIL65550 JYP65550 JOT65550 JEX65550 IVB65550 ILF65550 IBJ65550 HRN65550 HHR65550 GXV65550 GNZ65550 GED65550 FUH65550 FKL65550 FAP65550 EQT65550 EGX65550 DXB65550 DNF65550 DDJ65550 CTN65550 CJR65550 BZV65550 BPZ65550 BGD65550 AWH65550 AML65550 ACP65550 ST65550 IX65550 B65550 WVJ30:WVJ32 WLN30:WLN32 WBR30:WBR32 VRV30:VRV32 VHZ30:VHZ32 UYD30:UYD32 UOH30:UOH32 UEL30:UEL32 TUP30:TUP32 TKT30:TKT32 TAX30:TAX32 SRB30:SRB32 SHF30:SHF32 RXJ30:RXJ32 RNN30:RNN32 RDR30:RDR32 QTV30:QTV32 QJZ30:QJZ32 QAD30:QAD32 PQH30:PQH32 PGL30:PGL32 OWP30:OWP32 OMT30:OMT32 OCX30:OCX32 NTB30:NTB32 NJF30:NJF32 MZJ30:MZJ32 MPN30:MPN32 MFR30:MFR32 LVV30:LVV32 LLZ30:LLZ32 LCD30:LCD32 KSH30:KSH32 KIL30:KIL32 JYP30:JYP32 JOT30:JOT32 JEX30:JEX32 IVB30:IVB32 ILF30:ILF32 IBJ30:IBJ32 HRN30:HRN32 HHR30:HHR32 GXV30:GXV32 GNZ30:GNZ32 GED30:GED32 FUH30:FUH32 FKL30:FKL32 FAP30:FAP32 EQT30:EQT32 EGX30:EGX32 DXB30:DXB32 DNF30:DNF32 DDJ30:DDJ32 CTN30:CTN32 CJR30:CJR32 BZV30:BZV32 BPZ30:BPZ32 BGD30:BGD32 AWH30:AWH32 AML30:AML32 ACP30:ACP32 ST30:ST32 IX30:IX32">
      <formula1>$B$17:$B$21</formula1>
    </dataValidation>
    <dataValidation type="list" allowBlank="1" showInputMessage="1" showErrorMessage="1" sqref="M65550:M65552 JI65550:JI65552 TE65550:TE65552 ADA65550:ADA65552 AMW65550:AMW65552 AWS65550:AWS65552 BGO65550:BGO65552 BQK65550:BQK65552 CAG65550:CAG65552 CKC65550:CKC65552 CTY65550:CTY65552 DDU65550:DDU65552 DNQ65550:DNQ65552 DXM65550:DXM65552 EHI65550:EHI65552 ERE65550:ERE65552 FBA65550:FBA65552 FKW65550:FKW65552 FUS65550:FUS65552 GEO65550:GEO65552 GOK65550:GOK65552 GYG65550:GYG65552 HIC65550:HIC65552 HRY65550:HRY65552 IBU65550:IBU65552 ILQ65550:ILQ65552 IVM65550:IVM65552 JFI65550:JFI65552 JPE65550:JPE65552 JZA65550:JZA65552 KIW65550:KIW65552 KSS65550:KSS65552 LCO65550:LCO65552 LMK65550:LMK65552 LWG65550:LWG65552 MGC65550:MGC65552 MPY65550:MPY65552 MZU65550:MZU65552 NJQ65550:NJQ65552 NTM65550:NTM65552 ODI65550:ODI65552 ONE65550:ONE65552 OXA65550:OXA65552 PGW65550:PGW65552 PQS65550:PQS65552 QAO65550:QAO65552 QKK65550:QKK65552 QUG65550:QUG65552 REC65550:REC65552 RNY65550:RNY65552 RXU65550:RXU65552 SHQ65550:SHQ65552 SRM65550:SRM65552 TBI65550:TBI65552 TLE65550:TLE65552 TVA65550:TVA65552 UEW65550:UEW65552 UOS65550:UOS65552 UYO65550:UYO65552 VIK65550:VIK65552 VSG65550:VSG65552 WCC65550:WCC65552 WLY65550:WLY65552 WVU65550:WVU65552 M131086:M131088 JI131086:JI131088 TE131086:TE131088 ADA131086:ADA131088 AMW131086:AMW131088 AWS131086:AWS131088 BGO131086:BGO131088 BQK131086:BQK131088 CAG131086:CAG131088 CKC131086:CKC131088 CTY131086:CTY131088 DDU131086:DDU131088 DNQ131086:DNQ131088 DXM131086:DXM131088 EHI131086:EHI131088 ERE131086:ERE131088 FBA131086:FBA131088 FKW131086:FKW131088 FUS131086:FUS131088 GEO131086:GEO131088 GOK131086:GOK131088 GYG131086:GYG131088 HIC131086:HIC131088 HRY131086:HRY131088 IBU131086:IBU131088 ILQ131086:ILQ131088 IVM131086:IVM131088 JFI131086:JFI131088 JPE131086:JPE131088 JZA131086:JZA131088 KIW131086:KIW131088 KSS131086:KSS131088 LCO131086:LCO131088 LMK131086:LMK131088 LWG131086:LWG131088 MGC131086:MGC131088 MPY131086:MPY131088 MZU131086:MZU131088 NJQ131086:NJQ131088 NTM131086:NTM131088 ODI131086:ODI131088 ONE131086:ONE131088 OXA131086:OXA131088 PGW131086:PGW131088 PQS131086:PQS131088 QAO131086:QAO131088 QKK131086:QKK131088 QUG131086:QUG131088 REC131086:REC131088 RNY131086:RNY131088 RXU131086:RXU131088 SHQ131086:SHQ131088 SRM131086:SRM131088 TBI131086:TBI131088 TLE131086:TLE131088 TVA131086:TVA131088 UEW131086:UEW131088 UOS131086:UOS131088 UYO131086:UYO131088 VIK131086:VIK131088 VSG131086:VSG131088 WCC131086:WCC131088 WLY131086:WLY131088 WVU131086:WVU131088 M196622:M196624 JI196622:JI196624 TE196622:TE196624 ADA196622:ADA196624 AMW196622:AMW196624 AWS196622:AWS196624 BGO196622:BGO196624 BQK196622:BQK196624 CAG196622:CAG196624 CKC196622:CKC196624 CTY196622:CTY196624 DDU196622:DDU196624 DNQ196622:DNQ196624 DXM196622:DXM196624 EHI196622:EHI196624 ERE196622:ERE196624 FBA196622:FBA196624 FKW196622:FKW196624 FUS196622:FUS196624 GEO196622:GEO196624 GOK196622:GOK196624 GYG196622:GYG196624 HIC196622:HIC196624 HRY196622:HRY196624 IBU196622:IBU196624 ILQ196622:ILQ196624 IVM196622:IVM196624 JFI196622:JFI196624 JPE196622:JPE196624 JZA196622:JZA196624 KIW196622:KIW196624 KSS196622:KSS196624 LCO196622:LCO196624 LMK196622:LMK196624 LWG196622:LWG196624 MGC196622:MGC196624 MPY196622:MPY196624 MZU196622:MZU196624 NJQ196622:NJQ196624 NTM196622:NTM196624 ODI196622:ODI196624 ONE196622:ONE196624 OXA196622:OXA196624 PGW196622:PGW196624 PQS196622:PQS196624 QAO196622:QAO196624 QKK196622:QKK196624 QUG196622:QUG196624 REC196622:REC196624 RNY196622:RNY196624 RXU196622:RXU196624 SHQ196622:SHQ196624 SRM196622:SRM196624 TBI196622:TBI196624 TLE196622:TLE196624 TVA196622:TVA196624 UEW196622:UEW196624 UOS196622:UOS196624 UYO196622:UYO196624 VIK196622:VIK196624 VSG196622:VSG196624 WCC196622:WCC196624 WLY196622:WLY196624 WVU196622:WVU196624 M262158:M262160 JI262158:JI262160 TE262158:TE262160 ADA262158:ADA262160 AMW262158:AMW262160 AWS262158:AWS262160 BGO262158:BGO262160 BQK262158:BQK262160 CAG262158:CAG262160 CKC262158:CKC262160 CTY262158:CTY262160 DDU262158:DDU262160 DNQ262158:DNQ262160 DXM262158:DXM262160 EHI262158:EHI262160 ERE262158:ERE262160 FBA262158:FBA262160 FKW262158:FKW262160 FUS262158:FUS262160 GEO262158:GEO262160 GOK262158:GOK262160 GYG262158:GYG262160 HIC262158:HIC262160 HRY262158:HRY262160 IBU262158:IBU262160 ILQ262158:ILQ262160 IVM262158:IVM262160 JFI262158:JFI262160 JPE262158:JPE262160 JZA262158:JZA262160 KIW262158:KIW262160 KSS262158:KSS262160 LCO262158:LCO262160 LMK262158:LMK262160 LWG262158:LWG262160 MGC262158:MGC262160 MPY262158:MPY262160 MZU262158:MZU262160 NJQ262158:NJQ262160 NTM262158:NTM262160 ODI262158:ODI262160 ONE262158:ONE262160 OXA262158:OXA262160 PGW262158:PGW262160 PQS262158:PQS262160 QAO262158:QAO262160 QKK262158:QKK262160 QUG262158:QUG262160 REC262158:REC262160 RNY262158:RNY262160 RXU262158:RXU262160 SHQ262158:SHQ262160 SRM262158:SRM262160 TBI262158:TBI262160 TLE262158:TLE262160 TVA262158:TVA262160 UEW262158:UEW262160 UOS262158:UOS262160 UYO262158:UYO262160 VIK262158:VIK262160 VSG262158:VSG262160 WCC262158:WCC262160 WLY262158:WLY262160 WVU262158:WVU262160 M327694:M327696 JI327694:JI327696 TE327694:TE327696 ADA327694:ADA327696 AMW327694:AMW327696 AWS327694:AWS327696 BGO327694:BGO327696 BQK327694:BQK327696 CAG327694:CAG327696 CKC327694:CKC327696 CTY327694:CTY327696 DDU327694:DDU327696 DNQ327694:DNQ327696 DXM327694:DXM327696 EHI327694:EHI327696 ERE327694:ERE327696 FBA327694:FBA327696 FKW327694:FKW327696 FUS327694:FUS327696 GEO327694:GEO327696 GOK327694:GOK327696 GYG327694:GYG327696 HIC327694:HIC327696 HRY327694:HRY327696 IBU327694:IBU327696 ILQ327694:ILQ327696 IVM327694:IVM327696 JFI327694:JFI327696 JPE327694:JPE327696 JZA327694:JZA327696 KIW327694:KIW327696 KSS327694:KSS327696 LCO327694:LCO327696 LMK327694:LMK327696 LWG327694:LWG327696 MGC327694:MGC327696 MPY327694:MPY327696 MZU327694:MZU327696 NJQ327694:NJQ327696 NTM327694:NTM327696 ODI327694:ODI327696 ONE327694:ONE327696 OXA327694:OXA327696 PGW327694:PGW327696 PQS327694:PQS327696 QAO327694:QAO327696 QKK327694:QKK327696 QUG327694:QUG327696 REC327694:REC327696 RNY327694:RNY327696 RXU327694:RXU327696 SHQ327694:SHQ327696 SRM327694:SRM327696 TBI327694:TBI327696 TLE327694:TLE327696 TVA327694:TVA327696 UEW327694:UEW327696 UOS327694:UOS327696 UYO327694:UYO327696 VIK327694:VIK327696 VSG327694:VSG327696 WCC327694:WCC327696 WLY327694:WLY327696 WVU327694:WVU327696 M393230:M393232 JI393230:JI393232 TE393230:TE393232 ADA393230:ADA393232 AMW393230:AMW393232 AWS393230:AWS393232 BGO393230:BGO393232 BQK393230:BQK393232 CAG393230:CAG393232 CKC393230:CKC393232 CTY393230:CTY393232 DDU393230:DDU393232 DNQ393230:DNQ393232 DXM393230:DXM393232 EHI393230:EHI393232 ERE393230:ERE393232 FBA393230:FBA393232 FKW393230:FKW393232 FUS393230:FUS393232 GEO393230:GEO393232 GOK393230:GOK393232 GYG393230:GYG393232 HIC393230:HIC393232 HRY393230:HRY393232 IBU393230:IBU393232 ILQ393230:ILQ393232 IVM393230:IVM393232 JFI393230:JFI393232 JPE393230:JPE393232 JZA393230:JZA393232 KIW393230:KIW393232 KSS393230:KSS393232 LCO393230:LCO393232 LMK393230:LMK393232 LWG393230:LWG393232 MGC393230:MGC393232 MPY393230:MPY393232 MZU393230:MZU393232 NJQ393230:NJQ393232 NTM393230:NTM393232 ODI393230:ODI393232 ONE393230:ONE393232 OXA393230:OXA393232 PGW393230:PGW393232 PQS393230:PQS393232 QAO393230:QAO393232 QKK393230:QKK393232 QUG393230:QUG393232 REC393230:REC393232 RNY393230:RNY393232 RXU393230:RXU393232 SHQ393230:SHQ393232 SRM393230:SRM393232 TBI393230:TBI393232 TLE393230:TLE393232 TVA393230:TVA393232 UEW393230:UEW393232 UOS393230:UOS393232 UYO393230:UYO393232 VIK393230:VIK393232 VSG393230:VSG393232 WCC393230:WCC393232 WLY393230:WLY393232 WVU393230:WVU393232 M458766:M458768 JI458766:JI458768 TE458766:TE458768 ADA458766:ADA458768 AMW458766:AMW458768 AWS458766:AWS458768 BGO458766:BGO458768 BQK458766:BQK458768 CAG458766:CAG458768 CKC458766:CKC458768 CTY458766:CTY458768 DDU458766:DDU458768 DNQ458766:DNQ458768 DXM458766:DXM458768 EHI458766:EHI458768 ERE458766:ERE458768 FBA458766:FBA458768 FKW458766:FKW458768 FUS458766:FUS458768 GEO458766:GEO458768 GOK458766:GOK458768 GYG458766:GYG458768 HIC458766:HIC458768 HRY458766:HRY458768 IBU458766:IBU458768 ILQ458766:ILQ458768 IVM458766:IVM458768 JFI458766:JFI458768 JPE458766:JPE458768 JZA458766:JZA458768 KIW458766:KIW458768 KSS458766:KSS458768 LCO458766:LCO458768 LMK458766:LMK458768 LWG458766:LWG458768 MGC458766:MGC458768 MPY458766:MPY458768 MZU458766:MZU458768 NJQ458766:NJQ458768 NTM458766:NTM458768 ODI458766:ODI458768 ONE458766:ONE458768 OXA458766:OXA458768 PGW458766:PGW458768 PQS458766:PQS458768 QAO458766:QAO458768 QKK458766:QKK458768 QUG458766:QUG458768 REC458766:REC458768 RNY458766:RNY458768 RXU458766:RXU458768 SHQ458766:SHQ458768 SRM458766:SRM458768 TBI458766:TBI458768 TLE458766:TLE458768 TVA458766:TVA458768 UEW458766:UEW458768 UOS458766:UOS458768 UYO458766:UYO458768 VIK458766:VIK458768 VSG458766:VSG458768 WCC458766:WCC458768 WLY458766:WLY458768 WVU458766:WVU458768 M524302:M524304 JI524302:JI524304 TE524302:TE524304 ADA524302:ADA524304 AMW524302:AMW524304 AWS524302:AWS524304 BGO524302:BGO524304 BQK524302:BQK524304 CAG524302:CAG524304 CKC524302:CKC524304 CTY524302:CTY524304 DDU524302:DDU524304 DNQ524302:DNQ524304 DXM524302:DXM524304 EHI524302:EHI524304 ERE524302:ERE524304 FBA524302:FBA524304 FKW524302:FKW524304 FUS524302:FUS524304 GEO524302:GEO524304 GOK524302:GOK524304 GYG524302:GYG524304 HIC524302:HIC524304 HRY524302:HRY524304 IBU524302:IBU524304 ILQ524302:ILQ524304 IVM524302:IVM524304 JFI524302:JFI524304 JPE524302:JPE524304 JZA524302:JZA524304 KIW524302:KIW524304 KSS524302:KSS524304 LCO524302:LCO524304 LMK524302:LMK524304 LWG524302:LWG524304 MGC524302:MGC524304 MPY524302:MPY524304 MZU524302:MZU524304 NJQ524302:NJQ524304 NTM524302:NTM524304 ODI524302:ODI524304 ONE524302:ONE524304 OXA524302:OXA524304 PGW524302:PGW524304 PQS524302:PQS524304 QAO524302:QAO524304 QKK524302:QKK524304 QUG524302:QUG524304 REC524302:REC524304 RNY524302:RNY524304 RXU524302:RXU524304 SHQ524302:SHQ524304 SRM524302:SRM524304 TBI524302:TBI524304 TLE524302:TLE524304 TVA524302:TVA524304 UEW524302:UEW524304 UOS524302:UOS524304 UYO524302:UYO524304 VIK524302:VIK524304 VSG524302:VSG524304 WCC524302:WCC524304 WLY524302:WLY524304 WVU524302:WVU524304 M589838:M589840 JI589838:JI589840 TE589838:TE589840 ADA589838:ADA589840 AMW589838:AMW589840 AWS589838:AWS589840 BGO589838:BGO589840 BQK589838:BQK589840 CAG589838:CAG589840 CKC589838:CKC589840 CTY589838:CTY589840 DDU589838:DDU589840 DNQ589838:DNQ589840 DXM589838:DXM589840 EHI589838:EHI589840 ERE589838:ERE589840 FBA589838:FBA589840 FKW589838:FKW589840 FUS589838:FUS589840 GEO589838:GEO589840 GOK589838:GOK589840 GYG589838:GYG589840 HIC589838:HIC589840 HRY589838:HRY589840 IBU589838:IBU589840 ILQ589838:ILQ589840 IVM589838:IVM589840 JFI589838:JFI589840 JPE589838:JPE589840 JZA589838:JZA589840 KIW589838:KIW589840 KSS589838:KSS589840 LCO589838:LCO589840 LMK589838:LMK589840 LWG589838:LWG589840 MGC589838:MGC589840 MPY589838:MPY589840 MZU589838:MZU589840 NJQ589838:NJQ589840 NTM589838:NTM589840 ODI589838:ODI589840 ONE589838:ONE589840 OXA589838:OXA589840 PGW589838:PGW589840 PQS589838:PQS589840 QAO589838:QAO589840 QKK589838:QKK589840 QUG589838:QUG589840 REC589838:REC589840 RNY589838:RNY589840 RXU589838:RXU589840 SHQ589838:SHQ589840 SRM589838:SRM589840 TBI589838:TBI589840 TLE589838:TLE589840 TVA589838:TVA589840 UEW589838:UEW589840 UOS589838:UOS589840 UYO589838:UYO589840 VIK589838:VIK589840 VSG589838:VSG589840 WCC589838:WCC589840 WLY589838:WLY589840 WVU589838:WVU589840 M655374:M655376 JI655374:JI655376 TE655374:TE655376 ADA655374:ADA655376 AMW655374:AMW655376 AWS655374:AWS655376 BGO655374:BGO655376 BQK655374:BQK655376 CAG655374:CAG655376 CKC655374:CKC655376 CTY655374:CTY655376 DDU655374:DDU655376 DNQ655374:DNQ655376 DXM655374:DXM655376 EHI655374:EHI655376 ERE655374:ERE655376 FBA655374:FBA655376 FKW655374:FKW655376 FUS655374:FUS655376 GEO655374:GEO655376 GOK655374:GOK655376 GYG655374:GYG655376 HIC655374:HIC655376 HRY655374:HRY655376 IBU655374:IBU655376 ILQ655374:ILQ655376 IVM655374:IVM655376 JFI655374:JFI655376 JPE655374:JPE655376 JZA655374:JZA655376 KIW655374:KIW655376 KSS655374:KSS655376 LCO655374:LCO655376 LMK655374:LMK655376 LWG655374:LWG655376 MGC655374:MGC655376 MPY655374:MPY655376 MZU655374:MZU655376 NJQ655374:NJQ655376 NTM655374:NTM655376 ODI655374:ODI655376 ONE655374:ONE655376 OXA655374:OXA655376 PGW655374:PGW655376 PQS655374:PQS655376 QAO655374:QAO655376 QKK655374:QKK655376 QUG655374:QUG655376 REC655374:REC655376 RNY655374:RNY655376 RXU655374:RXU655376 SHQ655374:SHQ655376 SRM655374:SRM655376 TBI655374:TBI655376 TLE655374:TLE655376 TVA655374:TVA655376 UEW655374:UEW655376 UOS655374:UOS655376 UYO655374:UYO655376 VIK655374:VIK655376 VSG655374:VSG655376 WCC655374:WCC655376 WLY655374:WLY655376 WVU655374:WVU655376 M720910:M720912 JI720910:JI720912 TE720910:TE720912 ADA720910:ADA720912 AMW720910:AMW720912 AWS720910:AWS720912 BGO720910:BGO720912 BQK720910:BQK720912 CAG720910:CAG720912 CKC720910:CKC720912 CTY720910:CTY720912 DDU720910:DDU720912 DNQ720910:DNQ720912 DXM720910:DXM720912 EHI720910:EHI720912 ERE720910:ERE720912 FBA720910:FBA720912 FKW720910:FKW720912 FUS720910:FUS720912 GEO720910:GEO720912 GOK720910:GOK720912 GYG720910:GYG720912 HIC720910:HIC720912 HRY720910:HRY720912 IBU720910:IBU720912 ILQ720910:ILQ720912 IVM720910:IVM720912 JFI720910:JFI720912 JPE720910:JPE720912 JZA720910:JZA720912 KIW720910:KIW720912 KSS720910:KSS720912 LCO720910:LCO720912 LMK720910:LMK720912 LWG720910:LWG720912 MGC720910:MGC720912 MPY720910:MPY720912 MZU720910:MZU720912 NJQ720910:NJQ720912 NTM720910:NTM720912 ODI720910:ODI720912 ONE720910:ONE720912 OXA720910:OXA720912 PGW720910:PGW720912 PQS720910:PQS720912 QAO720910:QAO720912 QKK720910:QKK720912 QUG720910:QUG720912 REC720910:REC720912 RNY720910:RNY720912 RXU720910:RXU720912 SHQ720910:SHQ720912 SRM720910:SRM720912 TBI720910:TBI720912 TLE720910:TLE720912 TVA720910:TVA720912 UEW720910:UEW720912 UOS720910:UOS720912 UYO720910:UYO720912 VIK720910:VIK720912 VSG720910:VSG720912 WCC720910:WCC720912 WLY720910:WLY720912 WVU720910:WVU720912 M786446:M786448 JI786446:JI786448 TE786446:TE786448 ADA786446:ADA786448 AMW786446:AMW786448 AWS786446:AWS786448 BGO786446:BGO786448 BQK786446:BQK786448 CAG786446:CAG786448 CKC786446:CKC786448 CTY786446:CTY786448 DDU786446:DDU786448 DNQ786446:DNQ786448 DXM786446:DXM786448 EHI786446:EHI786448 ERE786446:ERE786448 FBA786446:FBA786448 FKW786446:FKW786448 FUS786446:FUS786448 GEO786446:GEO786448 GOK786446:GOK786448 GYG786446:GYG786448 HIC786446:HIC786448 HRY786446:HRY786448 IBU786446:IBU786448 ILQ786446:ILQ786448 IVM786446:IVM786448 JFI786446:JFI786448 JPE786446:JPE786448 JZA786446:JZA786448 KIW786446:KIW786448 KSS786446:KSS786448 LCO786446:LCO786448 LMK786446:LMK786448 LWG786446:LWG786448 MGC786446:MGC786448 MPY786446:MPY786448 MZU786446:MZU786448 NJQ786446:NJQ786448 NTM786446:NTM786448 ODI786446:ODI786448 ONE786446:ONE786448 OXA786446:OXA786448 PGW786446:PGW786448 PQS786446:PQS786448 QAO786446:QAO786448 QKK786446:QKK786448 QUG786446:QUG786448 REC786446:REC786448 RNY786446:RNY786448 RXU786446:RXU786448 SHQ786446:SHQ786448 SRM786446:SRM786448 TBI786446:TBI786448 TLE786446:TLE786448 TVA786446:TVA786448 UEW786446:UEW786448 UOS786446:UOS786448 UYO786446:UYO786448 VIK786446:VIK786448 VSG786446:VSG786448 WCC786446:WCC786448 WLY786446:WLY786448 WVU786446:WVU786448 M851982:M851984 JI851982:JI851984 TE851982:TE851984 ADA851982:ADA851984 AMW851982:AMW851984 AWS851982:AWS851984 BGO851982:BGO851984 BQK851982:BQK851984 CAG851982:CAG851984 CKC851982:CKC851984 CTY851982:CTY851984 DDU851982:DDU851984 DNQ851982:DNQ851984 DXM851982:DXM851984 EHI851982:EHI851984 ERE851982:ERE851984 FBA851982:FBA851984 FKW851982:FKW851984 FUS851982:FUS851984 GEO851982:GEO851984 GOK851982:GOK851984 GYG851982:GYG851984 HIC851982:HIC851984 HRY851982:HRY851984 IBU851982:IBU851984 ILQ851982:ILQ851984 IVM851982:IVM851984 JFI851982:JFI851984 JPE851982:JPE851984 JZA851982:JZA851984 KIW851982:KIW851984 KSS851982:KSS851984 LCO851982:LCO851984 LMK851982:LMK851984 LWG851982:LWG851984 MGC851982:MGC851984 MPY851982:MPY851984 MZU851982:MZU851984 NJQ851982:NJQ851984 NTM851982:NTM851984 ODI851982:ODI851984 ONE851982:ONE851984 OXA851982:OXA851984 PGW851982:PGW851984 PQS851982:PQS851984 QAO851982:QAO851984 QKK851982:QKK851984 QUG851982:QUG851984 REC851982:REC851984 RNY851982:RNY851984 RXU851982:RXU851984 SHQ851982:SHQ851984 SRM851982:SRM851984 TBI851982:TBI851984 TLE851982:TLE851984 TVA851982:TVA851984 UEW851982:UEW851984 UOS851982:UOS851984 UYO851982:UYO851984 VIK851982:VIK851984 VSG851982:VSG851984 WCC851982:WCC851984 WLY851982:WLY851984 WVU851982:WVU851984 M917518:M917520 JI917518:JI917520 TE917518:TE917520 ADA917518:ADA917520 AMW917518:AMW917520 AWS917518:AWS917520 BGO917518:BGO917520 BQK917518:BQK917520 CAG917518:CAG917520 CKC917518:CKC917520 CTY917518:CTY917520 DDU917518:DDU917520 DNQ917518:DNQ917520 DXM917518:DXM917520 EHI917518:EHI917520 ERE917518:ERE917520 FBA917518:FBA917520 FKW917518:FKW917520 FUS917518:FUS917520 GEO917518:GEO917520 GOK917518:GOK917520 GYG917518:GYG917520 HIC917518:HIC917520 HRY917518:HRY917520 IBU917518:IBU917520 ILQ917518:ILQ917520 IVM917518:IVM917520 JFI917518:JFI917520 JPE917518:JPE917520 JZA917518:JZA917520 KIW917518:KIW917520 KSS917518:KSS917520 LCO917518:LCO917520 LMK917518:LMK917520 LWG917518:LWG917520 MGC917518:MGC917520 MPY917518:MPY917520 MZU917518:MZU917520 NJQ917518:NJQ917520 NTM917518:NTM917520 ODI917518:ODI917520 ONE917518:ONE917520 OXA917518:OXA917520 PGW917518:PGW917520 PQS917518:PQS917520 QAO917518:QAO917520 QKK917518:QKK917520 QUG917518:QUG917520 REC917518:REC917520 RNY917518:RNY917520 RXU917518:RXU917520 SHQ917518:SHQ917520 SRM917518:SRM917520 TBI917518:TBI917520 TLE917518:TLE917520 TVA917518:TVA917520 UEW917518:UEW917520 UOS917518:UOS917520 UYO917518:UYO917520 VIK917518:VIK917520 VSG917518:VSG917520 WCC917518:WCC917520 WLY917518:WLY917520 WVU917518:WVU917520 M983054:M983056 JI983054:JI983056 TE983054:TE983056 ADA983054:ADA983056 AMW983054:AMW983056 AWS983054:AWS983056 BGO983054:BGO983056 BQK983054:BQK983056 CAG983054:CAG983056 CKC983054:CKC983056 CTY983054:CTY983056 DDU983054:DDU983056 DNQ983054:DNQ983056 DXM983054:DXM983056 EHI983054:EHI983056 ERE983054:ERE983056 FBA983054:FBA983056 FKW983054:FKW983056 FUS983054:FUS983056 GEO983054:GEO983056 GOK983054:GOK983056 GYG983054:GYG983056 HIC983054:HIC983056 HRY983054:HRY983056 IBU983054:IBU983056 ILQ983054:ILQ983056 IVM983054:IVM983056 JFI983054:JFI983056 JPE983054:JPE983056 JZA983054:JZA983056 KIW983054:KIW983056 KSS983054:KSS983056 LCO983054:LCO983056 LMK983054:LMK983056 LWG983054:LWG983056 MGC983054:MGC983056 MPY983054:MPY983056 MZU983054:MZU983056 NJQ983054:NJQ983056 NTM983054:NTM983056 ODI983054:ODI983056 ONE983054:ONE983056 OXA983054:OXA983056 PGW983054:PGW983056 PQS983054:PQS983056 QAO983054:QAO983056 QKK983054:QKK983056 QUG983054:QUG983056 REC983054:REC983056 RNY983054:RNY983056 RXU983054:RXU983056 SHQ983054:SHQ983056 SRM983054:SRM983056 TBI983054:TBI983056 TLE983054:TLE983056 TVA983054:TVA983056 UEW983054:UEW983056 UOS983054:UOS983056 UYO983054:UYO983056 VIK983054:VIK983056 VSG983054:VSG983056 WCC983054:WCC983056 WLY983054:WLY983056 WVU983054:WVU983056 WVU30:WVU32 WLY30:WLY32 WCC30:WCC32 VSG30:VSG32 VIK30:VIK32 UYO30:UYO32 UOS30:UOS32 UEW30:UEW32 TVA30:TVA32 TLE30:TLE32 TBI30:TBI32 SRM30:SRM32 SHQ30:SHQ32 RXU30:RXU32 RNY30:RNY32 REC30:REC32 QUG30:QUG32 QKK30:QKK32 QAO30:QAO32 PQS30:PQS32 PGW30:PGW32 OXA30:OXA32 ONE30:ONE32 ODI30:ODI32 NTM30:NTM32 NJQ30:NJQ32 MZU30:MZU32 MPY30:MPY32 MGC30:MGC32 LWG30:LWG32 LMK30:LMK32 LCO30:LCO32 KSS30:KSS32 KIW30:KIW32 JZA30:JZA32 JPE30:JPE32 JFI30:JFI32 IVM30:IVM32 ILQ30:ILQ32 IBU30:IBU32 HRY30:HRY32 HIC30:HIC32 GYG30:GYG32 GOK30:GOK32 GEO30:GEO32 FUS30:FUS32 FKW30:FKW32 FBA30:FBA32 ERE30:ERE32 EHI30:EHI32 DXM30:DXM32 DNQ30:DNQ32 DDU30:DDU32 CTY30:CTY32 CKC30:CKC32 CAG30:CAG32 BQK30:BQK32 BGO30:BGO32 AWS30:AWS32 AMW30:AMW32 ADA30:ADA32 TE30:TE32 JI30:JI32 M30:M32">
      <formula1>#REF!</formula1>
    </dataValidation>
    <dataValidation type="list" allowBlank="1" showInputMessage="1" showErrorMessage="1" sqref="L65550:L65552 L30:L32 JH30:JH32 TD30:TD32 ACZ30:ACZ32 AMV30:AMV32 AWR30:AWR32 BGN30:BGN32 BQJ30:BQJ32 CAF30:CAF32 CKB30:CKB32 CTX30:CTX32 DDT30:DDT32 DNP30:DNP32 DXL30:DXL32 EHH30:EHH32 ERD30:ERD32 FAZ30:FAZ32 FKV30:FKV32 FUR30:FUR32 GEN30:GEN32 GOJ30:GOJ32 GYF30:GYF32 HIB30:HIB32 HRX30:HRX32 IBT30:IBT32 ILP30:ILP32 IVL30:IVL32 JFH30:JFH32 JPD30:JPD32 JYZ30:JYZ32 KIV30:KIV32 KSR30:KSR32 LCN30:LCN32 LMJ30:LMJ32 LWF30:LWF32 MGB30:MGB32 MPX30:MPX32 MZT30:MZT32 NJP30:NJP32 NTL30:NTL32 ODH30:ODH32 OND30:OND32 OWZ30:OWZ32 PGV30:PGV32 PQR30:PQR32 QAN30:QAN32 QKJ30:QKJ32 QUF30:QUF32 REB30:REB32 RNX30:RNX32 RXT30:RXT32 SHP30:SHP32 SRL30:SRL32 TBH30:TBH32 TLD30:TLD32 TUZ30:TUZ32 UEV30:UEV32 UOR30:UOR32 UYN30:UYN32 VIJ30:VIJ32 VSF30:VSF32 WCB30:WCB32 WLX30:WLX32 WVT30:WVT32 WVT983054:WVT983056 WLX983054:WLX983056 WCB983054:WCB983056 VSF983054:VSF983056 VIJ983054:VIJ983056 UYN983054:UYN983056 UOR983054:UOR983056 UEV983054:UEV983056 TUZ983054:TUZ983056 TLD983054:TLD983056 TBH983054:TBH983056 SRL983054:SRL983056 SHP983054:SHP983056 RXT983054:RXT983056 RNX983054:RNX983056 REB983054:REB983056 QUF983054:QUF983056 QKJ983054:QKJ983056 QAN983054:QAN983056 PQR983054:PQR983056 PGV983054:PGV983056 OWZ983054:OWZ983056 OND983054:OND983056 ODH983054:ODH983056 NTL983054:NTL983056 NJP983054:NJP983056 MZT983054:MZT983056 MPX983054:MPX983056 MGB983054:MGB983056 LWF983054:LWF983056 LMJ983054:LMJ983056 LCN983054:LCN983056 KSR983054:KSR983056 KIV983054:KIV983056 JYZ983054:JYZ983056 JPD983054:JPD983056 JFH983054:JFH983056 IVL983054:IVL983056 ILP983054:ILP983056 IBT983054:IBT983056 HRX983054:HRX983056 HIB983054:HIB983056 GYF983054:GYF983056 GOJ983054:GOJ983056 GEN983054:GEN983056 FUR983054:FUR983056 FKV983054:FKV983056 FAZ983054:FAZ983056 ERD983054:ERD983056 EHH983054:EHH983056 DXL983054:DXL983056 DNP983054:DNP983056 DDT983054:DDT983056 CTX983054:CTX983056 CKB983054:CKB983056 CAF983054:CAF983056 BQJ983054:BQJ983056 BGN983054:BGN983056 AWR983054:AWR983056 AMV983054:AMV983056 ACZ983054:ACZ983056 TD983054:TD983056 JH983054:JH983056 L983054:L983056 WVT917518:WVT917520 WLX917518:WLX917520 WCB917518:WCB917520 VSF917518:VSF917520 VIJ917518:VIJ917520 UYN917518:UYN917520 UOR917518:UOR917520 UEV917518:UEV917520 TUZ917518:TUZ917520 TLD917518:TLD917520 TBH917518:TBH917520 SRL917518:SRL917520 SHP917518:SHP917520 RXT917518:RXT917520 RNX917518:RNX917520 REB917518:REB917520 QUF917518:QUF917520 QKJ917518:QKJ917520 QAN917518:QAN917520 PQR917518:PQR917520 PGV917518:PGV917520 OWZ917518:OWZ917520 OND917518:OND917520 ODH917518:ODH917520 NTL917518:NTL917520 NJP917518:NJP917520 MZT917518:MZT917520 MPX917518:MPX917520 MGB917518:MGB917520 LWF917518:LWF917520 LMJ917518:LMJ917520 LCN917518:LCN917520 KSR917518:KSR917520 KIV917518:KIV917520 JYZ917518:JYZ917520 JPD917518:JPD917520 JFH917518:JFH917520 IVL917518:IVL917520 ILP917518:ILP917520 IBT917518:IBT917520 HRX917518:HRX917520 HIB917518:HIB917520 GYF917518:GYF917520 GOJ917518:GOJ917520 GEN917518:GEN917520 FUR917518:FUR917520 FKV917518:FKV917520 FAZ917518:FAZ917520 ERD917518:ERD917520 EHH917518:EHH917520 DXL917518:DXL917520 DNP917518:DNP917520 DDT917518:DDT917520 CTX917518:CTX917520 CKB917518:CKB917520 CAF917518:CAF917520 BQJ917518:BQJ917520 BGN917518:BGN917520 AWR917518:AWR917520 AMV917518:AMV917520 ACZ917518:ACZ917520 TD917518:TD917520 JH917518:JH917520 L917518:L917520 WVT851982:WVT851984 WLX851982:WLX851984 WCB851982:WCB851984 VSF851982:VSF851984 VIJ851982:VIJ851984 UYN851982:UYN851984 UOR851982:UOR851984 UEV851982:UEV851984 TUZ851982:TUZ851984 TLD851982:TLD851984 TBH851982:TBH851984 SRL851982:SRL851984 SHP851982:SHP851984 RXT851982:RXT851984 RNX851982:RNX851984 REB851982:REB851984 QUF851982:QUF851984 QKJ851982:QKJ851984 QAN851982:QAN851984 PQR851982:PQR851984 PGV851982:PGV851984 OWZ851982:OWZ851984 OND851982:OND851984 ODH851982:ODH851984 NTL851982:NTL851984 NJP851982:NJP851984 MZT851982:MZT851984 MPX851982:MPX851984 MGB851982:MGB851984 LWF851982:LWF851984 LMJ851982:LMJ851984 LCN851982:LCN851984 KSR851982:KSR851984 KIV851982:KIV851984 JYZ851982:JYZ851984 JPD851982:JPD851984 JFH851982:JFH851984 IVL851982:IVL851984 ILP851982:ILP851984 IBT851982:IBT851984 HRX851982:HRX851984 HIB851982:HIB851984 GYF851982:GYF851984 GOJ851982:GOJ851984 GEN851982:GEN851984 FUR851982:FUR851984 FKV851982:FKV851984 FAZ851982:FAZ851984 ERD851982:ERD851984 EHH851982:EHH851984 DXL851982:DXL851984 DNP851982:DNP851984 DDT851982:DDT851984 CTX851982:CTX851984 CKB851982:CKB851984 CAF851982:CAF851984 BQJ851982:BQJ851984 BGN851982:BGN851984 AWR851982:AWR851984 AMV851982:AMV851984 ACZ851982:ACZ851984 TD851982:TD851984 JH851982:JH851984 L851982:L851984 WVT786446:WVT786448 WLX786446:WLX786448 WCB786446:WCB786448 VSF786446:VSF786448 VIJ786446:VIJ786448 UYN786446:UYN786448 UOR786446:UOR786448 UEV786446:UEV786448 TUZ786446:TUZ786448 TLD786446:TLD786448 TBH786446:TBH786448 SRL786446:SRL786448 SHP786446:SHP786448 RXT786446:RXT786448 RNX786446:RNX786448 REB786446:REB786448 QUF786446:QUF786448 QKJ786446:QKJ786448 QAN786446:QAN786448 PQR786446:PQR786448 PGV786446:PGV786448 OWZ786446:OWZ786448 OND786446:OND786448 ODH786446:ODH786448 NTL786446:NTL786448 NJP786446:NJP786448 MZT786446:MZT786448 MPX786446:MPX786448 MGB786446:MGB786448 LWF786446:LWF786448 LMJ786446:LMJ786448 LCN786446:LCN786448 KSR786446:KSR786448 KIV786446:KIV786448 JYZ786446:JYZ786448 JPD786446:JPD786448 JFH786446:JFH786448 IVL786446:IVL786448 ILP786446:ILP786448 IBT786446:IBT786448 HRX786446:HRX786448 HIB786446:HIB786448 GYF786446:GYF786448 GOJ786446:GOJ786448 GEN786446:GEN786448 FUR786446:FUR786448 FKV786446:FKV786448 FAZ786446:FAZ786448 ERD786446:ERD786448 EHH786446:EHH786448 DXL786446:DXL786448 DNP786446:DNP786448 DDT786446:DDT786448 CTX786446:CTX786448 CKB786446:CKB786448 CAF786446:CAF786448 BQJ786446:BQJ786448 BGN786446:BGN786448 AWR786446:AWR786448 AMV786446:AMV786448 ACZ786446:ACZ786448 TD786446:TD786448 JH786446:JH786448 L786446:L786448 WVT720910:WVT720912 WLX720910:WLX720912 WCB720910:WCB720912 VSF720910:VSF720912 VIJ720910:VIJ720912 UYN720910:UYN720912 UOR720910:UOR720912 UEV720910:UEV720912 TUZ720910:TUZ720912 TLD720910:TLD720912 TBH720910:TBH720912 SRL720910:SRL720912 SHP720910:SHP720912 RXT720910:RXT720912 RNX720910:RNX720912 REB720910:REB720912 QUF720910:QUF720912 QKJ720910:QKJ720912 QAN720910:QAN720912 PQR720910:PQR720912 PGV720910:PGV720912 OWZ720910:OWZ720912 OND720910:OND720912 ODH720910:ODH720912 NTL720910:NTL720912 NJP720910:NJP720912 MZT720910:MZT720912 MPX720910:MPX720912 MGB720910:MGB720912 LWF720910:LWF720912 LMJ720910:LMJ720912 LCN720910:LCN720912 KSR720910:KSR720912 KIV720910:KIV720912 JYZ720910:JYZ720912 JPD720910:JPD720912 JFH720910:JFH720912 IVL720910:IVL720912 ILP720910:ILP720912 IBT720910:IBT720912 HRX720910:HRX720912 HIB720910:HIB720912 GYF720910:GYF720912 GOJ720910:GOJ720912 GEN720910:GEN720912 FUR720910:FUR720912 FKV720910:FKV720912 FAZ720910:FAZ720912 ERD720910:ERD720912 EHH720910:EHH720912 DXL720910:DXL720912 DNP720910:DNP720912 DDT720910:DDT720912 CTX720910:CTX720912 CKB720910:CKB720912 CAF720910:CAF720912 BQJ720910:BQJ720912 BGN720910:BGN720912 AWR720910:AWR720912 AMV720910:AMV720912 ACZ720910:ACZ720912 TD720910:TD720912 JH720910:JH720912 L720910:L720912 WVT655374:WVT655376 WLX655374:WLX655376 WCB655374:WCB655376 VSF655374:VSF655376 VIJ655374:VIJ655376 UYN655374:UYN655376 UOR655374:UOR655376 UEV655374:UEV655376 TUZ655374:TUZ655376 TLD655374:TLD655376 TBH655374:TBH655376 SRL655374:SRL655376 SHP655374:SHP655376 RXT655374:RXT655376 RNX655374:RNX655376 REB655374:REB655376 QUF655374:QUF655376 QKJ655374:QKJ655376 QAN655374:QAN655376 PQR655374:PQR655376 PGV655374:PGV655376 OWZ655374:OWZ655376 OND655374:OND655376 ODH655374:ODH655376 NTL655374:NTL655376 NJP655374:NJP655376 MZT655374:MZT655376 MPX655374:MPX655376 MGB655374:MGB655376 LWF655374:LWF655376 LMJ655374:LMJ655376 LCN655374:LCN655376 KSR655374:KSR655376 KIV655374:KIV655376 JYZ655374:JYZ655376 JPD655374:JPD655376 JFH655374:JFH655376 IVL655374:IVL655376 ILP655374:ILP655376 IBT655374:IBT655376 HRX655374:HRX655376 HIB655374:HIB655376 GYF655374:GYF655376 GOJ655374:GOJ655376 GEN655374:GEN655376 FUR655374:FUR655376 FKV655374:FKV655376 FAZ655374:FAZ655376 ERD655374:ERD655376 EHH655374:EHH655376 DXL655374:DXL655376 DNP655374:DNP655376 DDT655374:DDT655376 CTX655374:CTX655376 CKB655374:CKB655376 CAF655374:CAF655376 BQJ655374:BQJ655376 BGN655374:BGN655376 AWR655374:AWR655376 AMV655374:AMV655376 ACZ655374:ACZ655376 TD655374:TD655376 JH655374:JH655376 L655374:L655376 WVT589838:WVT589840 WLX589838:WLX589840 WCB589838:WCB589840 VSF589838:VSF589840 VIJ589838:VIJ589840 UYN589838:UYN589840 UOR589838:UOR589840 UEV589838:UEV589840 TUZ589838:TUZ589840 TLD589838:TLD589840 TBH589838:TBH589840 SRL589838:SRL589840 SHP589838:SHP589840 RXT589838:RXT589840 RNX589838:RNX589840 REB589838:REB589840 QUF589838:QUF589840 QKJ589838:QKJ589840 QAN589838:QAN589840 PQR589838:PQR589840 PGV589838:PGV589840 OWZ589838:OWZ589840 OND589838:OND589840 ODH589838:ODH589840 NTL589838:NTL589840 NJP589838:NJP589840 MZT589838:MZT589840 MPX589838:MPX589840 MGB589838:MGB589840 LWF589838:LWF589840 LMJ589838:LMJ589840 LCN589838:LCN589840 KSR589838:KSR589840 KIV589838:KIV589840 JYZ589838:JYZ589840 JPD589838:JPD589840 JFH589838:JFH589840 IVL589838:IVL589840 ILP589838:ILP589840 IBT589838:IBT589840 HRX589838:HRX589840 HIB589838:HIB589840 GYF589838:GYF589840 GOJ589838:GOJ589840 GEN589838:GEN589840 FUR589838:FUR589840 FKV589838:FKV589840 FAZ589838:FAZ589840 ERD589838:ERD589840 EHH589838:EHH589840 DXL589838:DXL589840 DNP589838:DNP589840 DDT589838:DDT589840 CTX589838:CTX589840 CKB589838:CKB589840 CAF589838:CAF589840 BQJ589838:BQJ589840 BGN589838:BGN589840 AWR589838:AWR589840 AMV589838:AMV589840 ACZ589838:ACZ589840 TD589838:TD589840 JH589838:JH589840 L589838:L589840 WVT524302:WVT524304 WLX524302:WLX524304 WCB524302:WCB524304 VSF524302:VSF524304 VIJ524302:VIJ524304 UYN524302:UYN524304 UOR524302:UOR524304 UEV524302:UEV524304 TUZ524302:TUZ524304 TLD524302:TLD524304 TBH524302:TBH524304 SRL524302:SRL524304 SHP524302:SHP524304 RXT524302:RXT524304 RNX524302:RNX524304 REB524302:REB524304 QUF524302:QUF524304 QKJ524302:QKJ524304 QAN524302:QAN524304 PQR524302:PQR524304 PGV524302:PGV524304 OWZ524302:OWZ524304 OND524302:OND524304 ODH524302:ODH524304 NTL524302:NTL524304 NJP524302:NJP524304 MZT524302:MZT524304 MPX524302:MPX524304 MGB524302:MGB524304 LWF524302:LWF524304 LMJ524302:LMJ524304 LCN524302:LCN524304 KSR524302:KSR524304 KIV524302:KIV524304 JYZ524302:JYZ524304 JPD524302:JPD524304 JFH524302:JFH524304 IVL524302:IVL524304 ILP524302:ILP524304 IBT524302:IBT524304 HRX524302:HRX524304 HIB524302:HIB524304 GYF524302:GYF524304 GOJ524302:GOJ524304 GEN524302:GEN524304 FUR524302:FUR524304 FKV524302:FKV524304 FAZ524302:FAZ524304 ERD524302:ERD524304 EHH524302:EHH524304 DXL524302:DXL524304 DNP524302:DNP524304 DDT524302:DDT524304 CTX524302:CTX524304 CKB524302:CKB524304 CAF524302:CAF524304 BQJ524302:BQJ524304 BGN524302:BGN524304 AWR524302:AWR524304 AMV524302:AMV524304 ACZ524302:ACZ524304 TD524302:TD524304 JH524302:JH524304 L524302:L524304 WVT458766:WVT458768 WLX458766:WLX458768 WCB458766:WCB458768 VSF458766:VSF458768 VIJ458766:VIJ458768 UYN458766:UYN458768 UOR458766:UOR458768 UEV458766:UEV458768 TUZ458766:TUZ458768 TLD458766:TLD458768 TBH458766:TBH458768 SRL458766:SRL458768 SHP458766:SHP458768 RXT458766:RXT458768 RNX458766:RNX458768 REB458766:REB458768 QUF458766:QUF458768 QKJ458766:QKJ458768 QAN458766:QAN458768 PQR458766:PQR458768 PGV458766:PGV458768 OWZ458766:OWZ458768 OND458766:OND458768 ODH458766:ODH458768 NTL458766:NTL458768 NJP458766:NJP458768 MZT458766:MZT458768 MPX458766:MPX458768 MGB458766:MGB458768 LWF458766:LWF458768 LMJ458766:LMJ458768 LCN458766:LCN458768 KSR458766:KSR458768 KIV458766:KIV458768 JYZ458766:JYZ458768 JPD458766:JPD458768 JFH458766:JFH458768 IVL458766:IVL458768 ILP458766:ILP458768 IBT458766:IBT458768 HRX458766:HRX458768 HIB458766:HIB458768 GYF458766:GYF458768 GOJ458766:GOJ458768 GEN458766:GEN458768 FUR458766:FUR458768 FKV458766:FKV458768 FAZ458766:FAZ458768 ERD458766:ERD458768 EHH458766:EHH458768 DXL458766:DXL458768 DNP458766:DNP458768 DDT458766:DDT458768 CTX458766:CTX458768 CKB458766:CKB458768 CAF458766:CAF458768 BQJ458766:BQJ458768 BGN458766:BGN458768 AWR458766:AWR458768 AMV458766:AMV458768 ACZ458766:ACZ458768 TD458766:TD458768 JH458766:JH458768 L458766:L458768 WVT393230:WVT393232 WLX393230:WLX393232 WCB393230:WCB393232 VSF393230:VSF393232 VIJ393230:VIJ393232 UYN393230:UYN393232 UOR393230:UOR393232 UEV393230:UEV393232 TUZ393230:TUZ393232 TLD393230:TLD393232 TBH393230:TBH393232 SRL393230:SRL393232 SHP393230:SHP393232 RXT393230:RXT393232 RNX393230:RNX393232 REB393230:REB393232 QUF393230:QUF393232 QKJ393230:QKJ393232 QAN393230:QAN393232 PQR393230:PQR393232 PGV393230:PGV393232 OWZ393230:OWZ393232 OND393230:OND393232 ODH393230:ODH393232 NTL393230:NTL393232 NJP393230:NJP393232 MZT393230:MZT393232 MPX393230:MPX393232 MGB393230:MGB393232 LWF393230:LWF393232 LMJ393230:LMJ393232 LCN393230:LCN393232 KSR393230:KSR393232 KIV393230:KIV393232 JYZ393230:JYZ393232 JPD393230:JPD393232 JFH393230:JFH393232 IVL393230:IVL393232 ILP393230:ILP393232 IBT393230:IBT393232 HRX393230:HRX393232 HIB393230:HIB393232 GYF393230:GYF393232 GOJ393230:GOJ393232 GEN393230:GEN393232 FUR393230:FUR393232 FKV393230:FKV393232 FAZ393230:FAZ393232 ERD393230:ERD393232 EHH393230:EHH393232 DXL393230:DXL393232 DNP393230:DNP393232 DDT393230:DDT393232 CTX393230:CTX393232 CKB393230:CKB393232 CAF393230:CAF393232 BQJ393230:BQJ393232 BGN393230:BGN393232 AWR393230:AWR393232 AMV393230:AMV393232 ACZ393230:ACZ393232 TD393230:TD393232 JH393230:JH393232 L393230:L393232 WVT327694:WVT327696 WLX327694:WLX327696 WCB327694:WCB327696 VSF327694:VSF327696 VIJ327694:VIJ327696 UYN327694:UYN327696 UOR327694:UOR327696 UEV327694:UEV327696 TUZ327694:TUZ327696 TLD327694:TLD327696 TBH327694:TBH327696 SRL327694:SRL327696 SHP327694:SHP327696 RXT327694:RXT327696 RNX327694:RNX327696 REB327694:REB327696 QUF327694:QUF327696 QKJ327694:QKJ327696 QAN327694:QAN327696 PQR327694:PQR327696 PGV327694:PGV327696 OWZ327694:OWZ327696 OND327694:OND327696 ODH327694:ODH327696 NTL327694:NTL327696 NJP327694:NJP327696 MZT327694:MZT327696 MPX327694:MPX327696 MGB327694:MGB327696 LWF327694:LWF327696 LMJ327694:LMJ327696 LCN327694:LCN327696 KSR327694:KSR327696 KIV327694:KIV327696 JYZ327694:JYZ327696 JPD327694:JPD327696 JFH327694:JFH327696 IVL327694:IVL327696 ILP327694:ILP327696 IBT327694:IBT327696 HRX327694:HRX327696 HIB327694:HIB327696 GYF327694:GYF327696 GOJ327694:GOJ327696 GEN327694:GEN327696 FUR327694:FUR327696 FKV327694:FKV327696 FAZ327694:FAZ327696 ERD327694:ERD327696 EHH327694:EHH327696 DXL327694:DXL327696 DNP327694:DNP327696 DDT327694:DDT327696 CTX327694:CTX327696 CKB327694:CKB327696 CAF327694:CAF327696 BQJ327694:BQJ327696 BGN327694:BGN327696 AWR327694:AWR327696 AMV327694:AMV327696 ACZ327694:ACZ327696 TD327694:TD327696 JH327694:JH327696 L327694:L327696 WVT262158:WVT262160 WLX262158:WLX262160 WCB262158:WCB262160 VSF262158:VSF262160 VIJ262158:VIJ262160 UYN262158:UYN262160 UOR262158:UOR262160 UEV262158:UEV262160 TUZ262158:TUZ262160 TLD262158:TLD262160 TBH262158:TBH262160 SRL262158:SRL262160 SHP262158:SHP262160 RXT262158:RXT262160 RNX262158:RNX262160 REB262158:REB262160 QUF262158:QUF262160 QKJ262158:QKJ262160 QAN262158:QAN262160 PQR262158:PQR262160 PGV262158:PGV262160 OWZ262158:OWZ262160 OND262158:OND262160 ODH262158:ODH262160 NTL262158:NTL262160 NJP262158:NJP262160 MZT262158:MZT262160 MPX262158:MPX262160 MGB262158:MGB262160 LWF262158:LWF262160 LMJ262158:LMJ262160 LCN262158:LCN262160 KSR262158:KSR262160 KIV262158:KIV262160 JYZ262158:JYZ262160 JPD262158:JPD262160 JFH262158:JFH262160 IVL262158:IVL262160 ILP262158:ILP262160 IBT262158:IBT262160 HRX262158:HRX262160 HIB262158:HIB262160 GYF262158:GYF262160 GOJ262158:GOJ262160 GEN262158:GEN262160 FUR262158:FUR262160 FKV262158:FKV262160 FAZ262158:FAZ262160 ERD262158:ERD262160 EHH262158:EHH262160 DXL262158:DXL262160 DNP262158:DNP262160 DDT262158:DDT262160 CTX262158:CTX262160 CKB262158:CKB262160 CAF262158:CAF262160 BQJ262158:BQJ262160 BGN262158:BGN262160 AWR262158:AWR262160 AMV262158:AMV262160 ACZ262158:ACZ262160 TD262158:TD262160 JH262158:JH262160 L262158:L262160 WVT196622:WVT196624 WLX196622:WLX196624 WCB196622:WCB196624 VSF196622:VSF196624 VIJ196622:VIJ196624 UYN196622:UYN196624 UOR196622:UOR196624 UEV196622:UEV196624 TUZ196622:TUZ196624 TLD196622:TLD196624 TBH196622:TBH196624 SRL196622:SRL196624 SHP196622:SHP196624 RXT196622:RXT196624 RNX196622:RNX196624 REB196622:REB196624 QUF196622:QUF196624 QKJ196622:QKJ196624 QAN196622:QAN196624 PQR196622:PQR196624 PGV196622:PGV196624 OWZ196622:OWZ196624 OND196622:OND196624 ODH196622:ODH196624 NTL196622:NTL196624 NJP196622:NJP196624 MZT196622:MZT196624 MPX196622:MPX196624 MGB196622:MGB196624 LWF196622:LWF196624 LMJ196622:LMJ196624 LCN196622:LCN196624 KSR196622:KSR196624 KIV196622:KIV196624 JYZ196622:JYZ196624 JPD196622:JPD196624 JFH196622:JFH196624 IVL196622:IVL196624 ILP196622:ILP196624 IBT196622:IBT196624 HRX196622:HRX196624 HIB196622:HIB196624 GYF196622:GYF196624 GOJ196622:GOJ196624 GEN196622:GEN196624 FUR196622:FUR196624 FKV196622:FKV196624 FAZ196622:FAZ196624 ERD196622:ERD196624 EHH196622:EHH196624 DXL196622:DXL196624 DNP196622:DNP196624 DDT196622:DDT196624 CTX196622:CTX196624 CKB196622:CKB196624 CAF196622:CAF196624 BQJ196622:BQJ196624 BGN196622:BGN196624 AWR196622:AWR196624 AMV196622:AMV196624 ACZ196622:ACZ196624 TD196622:TD196624 JH196622:JH196624 L196622:L196624 WVT131086:WVT131088 WLX131086:WLX131088 WCB131086:WCB131088 VSF131086:VSF131088 VIJ131086:VIJ131088 UYN131086:UYN131088 UOR131086:UOR131088 UEV131086:UEV131088 TUZ131086:TUZ131088 TLD131086:TLD131088 TBH131086:TBH131088 SRL131086:SRL131088 SHP131086:SHP131088 RXT131086:RXT131088 RNX131086:RNX131088 REB131086:REB131088 QUF131086:QUF131088 QKJ131086:QKJ131088 QAN131086:QAN131088 PQR131086:PQR131088 PGV131086:PGV131088 OWZ131086:OWZ131088 OND131086:OND131088 ODH131086:ODH131088 NTL131086:NTL131088 NJP131086:NJP131088 MZT131086:MZT131088 MPX131086:MPX131088 MGB131086:MGB131088 LWF131086:LWF131088 LMJ131086:LMJ131088 LCN131086:LCN131088 KSR131086:KSR131088 KIV131086:KIV131088 JYZ131086:JYZ131088 JPD131086:JPD131088 JFH131086:JFH131088 IVL131086:IVL131088 ILP131086:ILP131088 IBT131086:IBT131088 HRX131086:HRX131088 HIB131086:HIB131088 GYF131086:GYF131088 GOJ131086:GOJ131088 GEN131086:GEN131088 FUR131086:FUR131088 FKV131086:FKV131088 FAZ131086:FAZ131088 ERD131086:ERD131088 EHH131086:EHH131088 DXL131086:DXL131088 DNP131086:DNP131088 DDT131086:DDT131088 CTX131086:CTX131088 CKB131086:CKB131088 CAF131086:CAF131088 BQJ131086:BQJ131088 BGN131086:BGN131088 AWR131086:AWR131088 AMV131086:AMV131088 ACZ131086:ACZ131088 TD131086:TD131088 JH131086:JH131088 L131086:L131088 WVT65550:WVT65552 WLX65550:WLX65552 WCB65550:WCB65552 VSF65550:VSF65552 VIJ65550:VIJ65552 UYN65550:UYN65552 UOR65550:UOR65552 UEV65550:UEV65552 TUZ65550:TUZ65552 TLD65550:TLD65552 TBH65550:TBH65552 SRL65550:SRL65552 SHP65550:SHP65552 RXT65550:RXT65552 RNX65550:RNX65552 REB65550:REB65552 QUF65550:QUF65552 QKJ65550:QKJ65552 QAN65550:QAN65552 PQR65550:PQR65552 PGV65550:PGV65552 OWZ65550:OWZ65552 OND65550:OND65552 ODH65550:ODH65552 NTL65550:NTL65552 NJP65550:NJP65552 MZT65550:MZT65552 MPX65550:MPX65552 MGB65550:MGB65552 LWF65550:LWF65552 LMJ65550:LMJ65552 LCN65550:LCN65552 KSR65550:KSR65552 KIV65550:KIV65552 JYZ65550:JYZ65552 JPD65550:JPD65552 JFH65550:JFH65552 IVL65550:IVL65552 ILP65550:ILP65552 IBT65550:IBT65552 HRX65550:HRX65552 HIB65550:HIB65552 GYF65550:GYF65552 GOJ65550:GOJ65552 GEN65550:GEN65552 FUR65550:FUR65552 FKV65550:FKV65552 FAZ65550:FAZ65552 ERD65550:ERD65552 EHH65550:EHH65552 DXL65550:DXL65552 DNP65550:DNP65552 DDT65550:DDT65552 CTX65550:CTX65552 CKB65550:CKB65552 CAF65550:CAF65552 BQJ65550:BQJ65552 BGN65550:BGN65552 AWR65550:AWR65552 AMV65550:AMV65552 ACZ65550:ACZ65552 TD65550:TD65552 JH65550:JH65552">
      <formula1>$N$17:$N$20</formula1>
    </dataValidation>
    <dataValidation type="list" allowBlank="1" showInputMessage="1" showErrorMessage="1" sqref="N65550:N65552 N30:N32 JJ30:JJ32 TF30:TF32 ADB30:ADB32 AMX30:AMX32 AWT30:AWT32 BGP30:BGP32 BQL30:BQL32 CAH30:CAH32 CKD30:CKD32 CTZ30:CTZ32 DDV30:DDV32 DNR30:DNR32 DXN30:DXN32 EHJ30:EHJ32 ERF30:ERF32 FBB30:FBB32 FKX30:FKX32 FUT30:FUT32 GEP30:GEP32 GOL30:GOL32 GYH30:GYH32 HID30:HID32 HRZ30:HRZ32 IBV30:IBV32 ILR30:ILR32 IVN30:IVN32 JFJ30:JFJ32 JPF30:JPF32 JZB30:JZB32 KIX30:KIX32 KST30:KST32 LCP30:LCP32 LML30:LML32 LWH30:LWH32 MGD30:MGD32 MPZ30:MPZ32 MZV30:MZV32 NJR30:NJR32 NTN30:NTN32 ODJ30:ODJ32 ONF30:ONF32 OXB30:OXB32 PGX30:PGX32 PQT30:PQT32 QAP30:QAP32 QKL30:QKL32 QUH30:QUH32 RED30:RED32 RNZ30:RNZ32 RXV30:RXV32 SHR30:SHR32 SRN30:SRN32 TBJ30:TBJ32 TLF30:TLF32 TVB30:TVB32 UEX30:UEX32 UOT30:UOT32 UYP30:UYP32 VIL30:VIL32 VSH30:VSH32 WCD30:WCD32 WLZ30:WLZ32 WVV30:WVV32 WVV983054:WVV983056 WLZ983054:WLZ983056 WCD983054:WCD983056 VSH983054:VSH983056 VIL983054:VIL983056 UYP983054:UYP983056 UOT983054:UOT983056 UEX983054:UEX983056 TVB983054:TVB983056 TLF983054:TLF983056 TBJ983054:TBJ983056 SRN983054:SRN983056 SHR983054:SHR983056 RXV983054:RXV983056 RNZ983054:RNZ983056 RED983054:RED983056 QUH983054:QUH983056 QKL983054:QKL983056 QAP983054:QAP983056 PQT983054:PQT983056 PGX983054:PGX983056 OXB983054:OXB983056 ONF983054:ONF983056 ODJ983054:ODJ983056 NTN983054:NTN983056 NJR983054:NJR983056 MZV983054:MZV983056 MPZ983054:MPZ983056 MGD983054:MGD983056 LWH983054:LWH983056 LML983054:LML983056 LCP983054:LCP983056 KST983054:KST983056 KIX983054:KIX983056 JZB983054:JZB983056 JPF983054:JPF983056 JFJ983054:JFJ983056 IVN983054:IVN983056 ILR983054:ILR983056 IBV983054:IBV983056 HRZ983054:HRZ983056 HID983054:HID983056 GYH983054:GYH983056 GOL983054:GOL983056 GEP983054:GEP983056 FUT983054:FUT983056 FKX983054:FKX983056 FBB983054:FBB983056 ERF983054:ERF983056 EHJ983054:EHJ983056 DXN983054:DXN983056 DNR983054:DNR983056 DDV983054:DDV983056 CTZ983054:CTZ983056 CKD983054:CKD983056 CAH983054:CAH983056 BQL983054:BQL983056 BGP983054:BGP983056 AWT983054:AWT983056 AMX983054:AMX983056 ADB983054:ADB983056 TF983054:TF983056 JJ983054:JJ983056 N983054:N983056 WVV917518:WVV917520 WLZ917518:WLZ917520 WCD917518:WCD917520 VSH917518:VSH917520 VIL917518:VIL917520 UYP917518:UYP917520 UOT917518:UOT917520 UEX917518:UEX917520 TVB917518:TVB917520 TLF917518:TLF917520 TBJ917518:TBJ917520 SRN917518:SRN917520 SHR917518:SHR917520 RXV917518:RXV917520 RNZ917518:RNZ917520 RED917518:RED917520 QUH917518:QUH917520 QKL917518:QKL917520 QAP917518:QAP917520 PQT917518:PQT917520 PGX917518:PGX917520 OXB917518:OXB917520 ONF917518:ONF917520 ODJ917518:ODJ917520 NTN917518:NTN917520 NJR917518:NJR917520 MZV917518:MZV917520 MPZ917518:MPZ917520 MGD917518:MGD917520 LWH917518:LWH917520 LML917518:LML917520 LCP917518:LCP917520 KST917518:KST917520 KIX917518:KIX917520 JZB917518:JZB917520 JPF917518:JPF917520 JFJ917518:JFJ917520 IVN917518:IVN917520 ILR917518:ILR917520 IBV917518:IBV917520 HRZ917518:HRZ917520 HID917518:HID917520 GYH917518:GYH917520 GOL917518:GOL917520 GEP917518:GEP917520 FUT917518:FUT917520 FKX917518:FKX917520 FBB917518:FBB917520 ERF917518:ERF917520 EHJ917518:EHJ917520 DXN917518:DXN917520 DNR917518:DNR917520 DDV917518:DDV917520 CTZ917518:CTZ917520 CKD917518:CKD917520 CAH917518:CAH917520 BQL917518:BQL917520 BGP917518:BGP917520 AWT917518:AWT917520 AMX917518:AMX917520 ADB917518:ADB917520 TF917518:TF917520 JJ917518:JJ917520 N917518:N917520 WVV851982:WVV851984 WLZ851982:WLZ851984 WCD851982:WCD851984 VSH851982:VSH851984 VIL851982:VIL851984 UYP851982:UYP851984 UOT851982:UOT851984 UEX851982:UEX851984 TVB851982:TVB851984 TLF851982:TLF851984 TBJ851982:TBJ851984 SRN851982:SRN851984 SHR851982:SHR851984 RXV851982:RXV851984 RNZ851982:RNZ851984 RED851982:RED851984 QUH851982:QUH851984 QKL851982:QKL851984 QAP851982:QAP851984 PQT851982:PQT851984 PGX851982:PGX851984 OXB851982:OXB851984 ONF851982:ONF851984 ODJ851982:ODJ851984 NTN851982:NTN851984 NJR851982:NJR851984 MZV851982:MZV851984 MPZ851982:MPZ851984 MGD851982:MGD851984 LWH851982:LWH851984 LML851982:LML851984 LCP851982:LCP851984 KST851982:KST851984 KIX851982:KIX851984 JZB851982:JZB851984 JPF851982:JPF851984 JFJ851982:JFJ851984 IVN851982:IVN851984 ILR851982:ILR851984 IBV851982:IBV851984 HRZ851982:HRZ851984 HID851982:HID851984 GYH851982:GYH851984 GOL851982:GOL851984 GEP851982:GEP851984 FUT851982:FUT851984 FKX851982:FKX851984 FBB851982:FBB851984 ERF851982:ERF851984 EHJ851982:EHJ851984 DXN851982:DXN851984 DNR851982:DNR851984 DDV851982:DDV851984 CTZ851982:CTZ851984 CKD851982:CKD851984 CAH851982:CAH851984 BQL851982:BQL851984 BGP851982:BGP851984 AWT851982:AWT851984 AMX851982:AMX851984 ADB851982:ADB851984 TF851982:TF851984 JJ851982:JJ851984 N851982:N851984 WVV786446:WVV786448 WLZ786446:WLZ786448 WCD786446:WCD786448 VSH786446:VSH786448 VIL786446:VIL786448 UYP786446:UYP786448 UOT786446:UOT786448 UEX786446:UEX786448 TVB786446:TVB786448 TLF786446:TLF786448 TBJ786446:TBJ786448 SRN786446:SRN786448 SHR786446:SHR786448 RXV786446:RXV786448 RNZ786446:RNZ786448 RED786446:RED786448 QUH786446:QUH786448 QKL786446:QKL786448 QAP786446:QAP786448 PQT786446:PQT786448 PGX786446:PGX786448 OXB786446:OXB786448 ONF786446:ONF786448 ODJ786446:ODJ786448 NTN786446:NTN786448 NJR786446:NJR786448 MZV786446:MZV786448 MPZ786446:MPZ786448 MGD786446:MGD786448 LWH786446:LWH786448 LML786446:LML786448 LCP786446:LCP786448 KST786446:KST786448 KIX786446:KIX786448 JZB786446:JZB786448 JPF786446:JPF786448 JFJ786446:JFJ786448 IVN786446:IVN786448 ILR786446:ILR786448 IBV786446:IBV786448 HRZ786446:HRZ786448 HID786446:HID786448 GYH786446:GYH786448 GOL786446:GOL786448 GEP786446:GEP786448 FUT786446:FUT786448 FKX786446:FKX786448 FBB786446:FBB786448 ERF786446:ERF786448 EHJ786446:EHJ786448 DXN786446:DXN786448 DNR786446:DNR786448 DDV786446:DDV786448 CTZ786446:CTZ786448 CKD786446:CKD786448 CAH786446:CAH786448 BQL786446:BQL786448 BGP786446:BGP786448 AWT786446:AWT786448 AMX786446:AMX786448 ADB786446:ADB786448 TF786446:TF786448 JJ786446:JJ786448 N786446:N786448 WVV720910:WVV720912 WLZ720910:WLZ720912 WCD720910:WCD720912 VSH720910:VSH720912 VIL720910:VIL720912 UYP720910:UYP720912 UOT720910:UOT720912 UEX720910:UEX720912 TVB720910:TVB720912 TLF720910:TLF720912 TBJ720910:TBJ720912 SRN720910:SRN720912 SHR720910:SHR720912 RXV720910:RXV720912 RNZ720910:RNZ720912 RED720910:RED720912 QUH720910:QUH720912 QKL720910:QKL720912 QAP720910:QAP720912 PQT720910:PQT720912 PGX720910:PGX720912 OXB720910:OXB720912 ONF720910:ONF720912 ODJ720910:ODJ720912 NTN720910:NTN720912 NJR720910:NJR720912 MZV720910:MZV720912 MPZ720910:MPZ720912 MGD720910:MGD720912 LWH720910:LWH720912 LML720910:LML720912 LCP720910:LCP720912 KST720910:KST720912 KIX720910:KIX720912 JZB720910:JZB720912 JPF720910:JPF720912 JFJ720910:JFJ720912 IVN720910:IVN720912 ILR720910:ILR720912 IBV720910:IBV720912 HRZ720910:HRZ720912 HID720910:HID720912 GYH720910:GYH720912 GOL720910:GOL720912 GEP720910:GEP720912 FUT720910:FUT720912 FKX720910:FKX720912 FBB720910:FBB720912 ERF720910:ERF720912 EHJ720910:EHJ720912 DXN720910:DXN720912 DNR720910:DNR720912 DDV720910:DDV720912 CTZ720910:CTZ720912 CKD720910:CKD720912 CAH720910:CAH720912 BQL720910:BQL720912 BGP720910:BGP720912 AWT720910:AWT720912 AMX720910:AMX720912 ADB720910:ADB720912 TF720910:TF720912 JJ720910:JJ720912 N720910:N720912 WVV655374:WVV655376 WLZ655374:WLZ655376 WCD655374:WCD655376 VSH655374:VSH655376 VIL655374:VIL655376 UYP655374:UYP655376 UOT655374:UOT655376 UEX655374:UEX655376 TVB655374:TVB655376 TLF655374:TLF655376 TBJ655374:TBJ655376 SRN655374:SRN655376 SHR655374:SHR655376 RXV655374:RXV655376 RNZ655374:RNZ655376 RED655374:RED655376 QUH655374:QUH655376 QKL655374:QKL655376 QAP655374:QAP655376 PQT655374:PQT655376 PGX655374:PGX655376 OXB655374:OXB655376 ONF655374:ONF655376 ODJ655374:ODJ655376 NTN655374:NTN655376 NJR655374:NJR655376 MZV655374:MZV655376 MPZ655374:MPZ655376 MGD655374:MGD655376 LWH655374:LWH655376 LML655374:LML655376 LCP655374:LCP655376 KST655374:KST655376 KIX655374:KIX655376 JZB655374:JZB655376 JPF655374:JPF655376 JFJ655374:JFJ655376 IVN655374:IVN655376 ILR655374:ILR655376 IBV655374:IBV655376 HRZ655374:HRZ655376 HID655374:HID655376 GYH655374:GYH655376 GOL655374:GOL655376 GEP655374:GEP655376 FUT655374:FUT655376 FKX655374:FKX655376 FBB655374:FBB655376 ERF655374:ERF655376 EHJ655374:EHJ655376 DXN655374:DXN655376 DNR655374:DNR655376 DDV655374:DDV655376 CTZ655374:CTZ655376 CKD655374:CKD655376 CAH655374:CAH655376 BQL655374:BQL655376 BGP655374:BGP655376 AWT655374:AWT655376 AMX655374:AMX655376 ADB655374:ADB655376 TF655374:TF655376 JJ655374:JJ655376 N655374:N655376 WVV589838:WVV589840 WLZ589838:WLZ589840 WCD589838:WCD589840 VSH589838:VSH589840 VIL589838:VIL589840 UYP589838:UYP589840 UOT589838:UOT589840 UEX589838:UEX589840 TVB589838:TVB589840 TLF589838:TLF589840 TBJ589838:TBJ589840 SRN589838:SRN589840 SHR589838:SHR589840 RXV589838:RXV589840 RNZ589838:RNZ589840 RED589838:RED589840 QUH589838:QUH589840 QKL589838:QKL589840 QAP589838:QAP589840 PQT589838:PQT589840 PGX589838:PGX589840 OXB589838:OXB589840 ONF589838:ONF589840 ODJ589838:ODJ589840 NTN589838:NTN589840 NJR589838:NJR589840 MZV589838:MZV589840 MPZ589838:MPZ589840 MGD589838:MGD589840 LWH589838:LWH589840 LML589838:LML589840 LCP589838:LCP589840 KST589838:KST589840 KIX589838:KIX589840 JZB589838:JZB589840 JPF589838:JPF589840 JFJ589838:JFJ589840 IVN589838:IVN589840 ILR589838:ILR589840 IBV589838:IBV589840 HRZ589838:HRZ589840 HID589838:HID589840 GYH589838:GYH589840 GOL589838:GOL589840 GEP589838:GEP589840 FUT589838:FUT589840 FKX589838:FKX589840 FBB589838:FBB589840 ERF589838:ERF589840 EHJ589838:EHJ589840 DXN589838:DXN589840 DNR589838:DNR589840 DDV589838:DDV589840 CTZ589838:CTZ589840 CKD589838:CKD589840 CAH589838:CAH589840 BQL589838:BQL589840 BGP589838:BGP589840 AWT589838:AWT589840 AMX589838:AMX589840 ADB589838:ADB589840 TF589838:TF589840 JJ589838:JJ589840 N589838:N589840 WVV524302:WVV524304 WLZ524302:WLZ524304 WCD524302:WCD524304 VSH524302:VSH524304 VIL524302:VIL524304 UYP524302:UYP524304 UOT524302:UOT524304 UEX524302:UEX524304 TVB524302:TVB524304 TLF524302:TLF524304 TBJ524302:TBJ524304 SRN524302:SRN524304 SHR524302:SHR524304 RXV524302:RXV524304 RNZ524302:RNZ524304 RED524302:RED524304 QUH524302:QUH524304 QKL524302:QKL524304 QAP524302:QAP524304 PQT524302:PQT524304 PGX524302:PGX524304 OXB524302:OXB524304 ONF524302:ONF524304 ODJ524302:ODJ524304 NTN524302:NTN524304 NJR524302:NJR524304 MZV524302:MZV524304 MPZ524302:MPZ524304 MGD524302:MGD524304 LWH524302:LWH524304 LML524302:LML524304 LCP524302:LCP524304 KST524302:KST524304 KIX524302:KIX524304 JZB524302:JZB524304 JPF524302:JPF524304 JFJ524302:JFJ524304 IVN524302:IVN524304 ILR524302:ILR524304 IBV524302:IBV524304 HRZ524302:HRZ524304 HID524302:HID524304 GYH524302:GYH524304 GOL524302:GOL524304 GEP524302:GEP524304 FUT524302:FUT524304 FKX524302:FKX524304 FBB524302:FBB524304 ERF524302:ERF524304 EHJ524302:EHJ524304 DXN524302:DXN524304 DNR524302:DNR524304 DDV524302:DDV524304 CTZ524302:CTZ524304 CKD524302:CKD524304 CAH524302:CAH524304 BQL524302:BQL524304 BGP524302:BGP524304 AWT524302:AWT524304 AMX524302:AMX524304 ADB524302:ADB524304 TF524302:TF524304 JJ524302:JJ524304 N524302:N524304 WVV458766:WVV458768 WLZ458766:WLZ458768 WCD458766:WCD458768 VSH458766:VSH458768 VIL458766:VIL458768 UYP458766:UYP458768 UOT458766:UOT458768 UEX458766:UEX458768 TVB458766:TVB458768 TLF458766:TLF458768 TBJ458766:TBJ458768 SRN458766:SRN458768 SHR458766:SHR458768 RXV458766:RXV458768 RNZ458766:RNZ458768 RED458766:RED458768 QUH458766:QUH458768 QKL458766:QKL458768 QAP458766:QAP458768 PQT458766:PQT458768 PGX458766:PGX458768 OXB458766:OXB458768 ONF458766:ONF458768 ODJ458766:ODJ458768 NTN458766:NTN458768 NJR458766:NJR458768 MZV458766:MZV458768 MPZ458766:MPZ458768 MGD458766:MGD458768 LWH458766:LWH458768 LML458766:LML458768 LCP458766:LCP458768 KST458766:KST458768 KIX458766:KIX458768 JZB458766:JZB458768 JPF458766:JPF458768 JFJ458766:JFJ458768 IVN458766:IVN458768 ILR458766:ILR458768 IBV458766:IBV458768 HRZ458766:HRZ458768 HID458766:HID458768 GYH458766:GYH458768 GOL458766:GOL458768 GEP458766:GEP458768 FUT458766:FUT458768 FKX458766:FKX458768 FBB458766:FBB458768 ERF458766:ERF458768 EHJ458766:EHJ458768 DXN458766:DXN458768 DNR458766:DNR458768 DDV458766:DDV458768 CTZ458766:CTZ458768 CKD458766:CKD458768 CAH458766:CAH458768 BQL458766:BQL458768 BGP458766:BGP458768 AWT458766:AWT458768 AMX458766:AMX458768 ADB458766:ADB458768 TF458766:TF458768 JJ458766:JJ458768 N458766:N458768 WVV393230:WVV393232 WLZ393230:WLZ393232 WCD393230:WCD393232 VSH393230:VSH393232 VIL393230:VIL393232 UYP393230:UYP393232 UOT393230:UOT393232 UEX393230:UEX393232 TVB393230:TVB393232 TLF393230:TLF393232 TBJ393230:TBJ393232 SRN393230:SRN393232 SHR393230:SHR393232 RXV393230:RXV393232 RNZ393230:RNZ393232 RED393230:RED393232 QUH393230:QUH393232 QKL393230:QKL393232 QAP393230:QAP393232 PQT393230:PQT393232 PGX393230:PGX393232 OXB393230:OXB393232 ONF393230:ONF393232 ODJ393230:ODJ393232 NTN393230:NTN393232 NJR393230:NJR393232 MZV393230:MZV393232 MPZ393230:MPZ393232 MGD393230:MGD393232 LWH393230:LWH393232 LML393230:LML393232 LCP393230:LCP393232 KST393230:KST393232 KIX393230:KIX393232 JZB393230:JZB393232 JPF393230:JPF393232 JFJ393230:JFJ393232 IVN393230:IVN393232 ILR393230:ILR393232 IBV393230:IBV393232 HRZ393230:HRZ393232 HID393230:HID393232 GYH393230:GYH393232 GOL393230:GOL393232 GEP393230:GEP393232 FUT393230:FUT393232 FKX393230:FKX393232 FBB393230:FBB393232 ERF393230:ERF393232 EHJ393230:EHJ393232 DXN393230:DXN393232 DNR393230:DNR393232 DDV393230:DDV393232 CTZ393230:CTZ393232 CKD393230:CKD393232 CAH393230:CAH393232 BQL393230:BQL393232 BGP393230:BGP393232 AWT393230:AWT393232 AMX393230:AMX393232 ADB393230:ADB393232 TF393230:TF393232 JJ393230:JJ393232 N393230:N393232 WVV327694:WVV327696 WLZ327694:WLZ327696 WCD327694:WCD327696 VSH327694:VSH327696 VIL327694:VIL327696 UYP327694:UYP327696 UOT327694:UOT327696 UEX327694:UEX327696 TVB327694:TVB327696 TLF327694:TLF327696 TBJ327694:TBJ327696 SRN327694:SRN327696 SHR327694:SHR327696 RXV327694:RXV327696 RNZ327694:RNZ327696 RED327694:RED327696 QUH327694:QUH327696 QKL327694:QKL327696 QAP327694:QAP327696 PQT327694:PQT327696 PGX327694:PGX327696 OXB327694:OXB327696 ONF327694:ONF327696 ODJ327694:ODJ327696 NTN327694:NTN327696 NJR327694:NJR327696 MZV327694:MZV327696 MPZ327694:MPZ327696 MGD327694:MGD327696 LWH327694:LWH327696 LML327694:LML327696 LCP327694:LCP327696 KST327694:KST327696 KIX327694:KIX327696 JZB327694:JZB327696 JPF327694:JPF327696 JFJ327694:JFJ327696 IVN327694:IVN327696 ILR327694:ILR327696 IBV327694:IBV327696 HRZ327694:HRZ327696 HID327694:HID327696 GYH327694:GYH327696 GOL327694:GOL327696 GEP327694:GEP327696 FUT327694:FUT327696 FKX327694:FKX327696 FBB327694:FBB327696 ERF327694:ERF327696 EHJ327694:EHJ327696 DXN327694:DXN327696 DNR327694:DNR327696 DDV327694:DDV327696 CTZ327694:CTZ327696 CKD327694:CKD327696 CAH327694:CAH327696 BQL327694:BQL327696 BGP327694:BGP327696 AWT327694:AWT327696 AMX327694:AMX327696 ADB327694:ADB327696 TF327694:TF327696 JJ327694:JJ327696 N327694:N327696 WVV262158:WVV262160 WLZ262158:WLZ262160 WCD262158:WCD262160 VSH262158:VSH262160 VIL262158:VIL262160 UYP262158:UYP262160 UOT262158:UOT262160 UEX262158:UEX262160 TVB262158:TVB262160 TLF262158:TLF262160 TBJ262158:TBJ262160 SRN262158:SRN262160 SHR262158:SHR262160 RXV262158:RXV262160 RNZ262158:RNZ262160 RED262158:RED262160 QUH262158:QUH262160 QKL262158:QKL262160 QAP262158:QAP262160 PQT262158:PQT262160 PGX262158:PGX262160 OXB262158:OXB262160 ONF262158:ONF262160 ODJ262158:ODJ262160 NTN262158:NTN262160 NJR262158:NJR262160 MZV262158:MZV262160 MPZ262158:MPZ262160 MGD262158:MGD262160 LWH262158:LWH262160 LML262158:LML262160 LCP262158:LCP262160 KST262158:KST262160 KIX262158:KIX262160 JZB262158:JZB262160 JPF262158:JPF262160 JFJ262158:JFJ262160 IVN262158:IVN262160 ILR262158:ILR262160 IBV262158:IBV262160 HRZ262158:HRZ262160 HID262158:HID262160 GYH262158:GYH262160 GOL262158:GOL262160 GEP262158:GEP262160 FUT262158:FUT262160 FKX262158:FKX262160 FBB262158:FBB262160 ERF262158:ERF262160 EHJ262158:EHJ262160 DXN262158:DXN262160 DNR262158:DNR262160 DDV262158:DDV262160 CTZ262158:CTZ262160 CKD262158:CKD262160 CAH262158:CAH262160 BQL262158:BQL262160 BGP262158:BGP262160 AWT262158:AWT262160 AMX262158:AMX262160 ADB262158:ADB262160 TF262158:TF262160 JJ262158:JJ262160 N262158:N262160 WVV196622:WVV196624 WLZ196622:WLZ196624 WCD196622:WCD196624 VSH196622:VSH196624 VIL196622:VIL196624 UYP196622:UYP196624 UOT196622:UOT196624 UEX196622:UEX196624 TVB196622:TVB196624 TLF196622:TLF196624 TBJ196622:TBJ196624 SRN196622:SRN196624 SHR196622:SHR196624 RXV196622:RXV196624 RNZ196622:RNZ196624 RED196622:RED196624 QUH196622:QUH196624 QKL196622:QKL196624 QAP196622:QAP196624 PQT196622:PQT196624 PGX196622:PGX196624 OXB196622:OXB196624 ONF196622:ONF196624 ODJ196622:ODJ196624 NTN196622:NTN196624 NJR196622:NJR196624 MZV196622:MZV196624 MPZ196622:MPZ196624 MGD196622:MGD196624 LWH196622:LWH196624 LML196622:LML196624 LCP196622:LCP196624 KST196622:KST196624 KIX196622:KIX196624 JZB196622:JZB196624 JPF196622:JPF196624 JFJ196622:JFJ196624 IVN196622:IVN196624 ILR196622:ILR196624 IBV196622:IBV196624 HRZ196622:HRZ196624 HID196622:HID196624 GYH196622:GYH196624 GOL196622:GOL196624 GEP196622:GEP196624 FUT196622:FUT196624 FKX196622:FKX196624 FBB196622:FBB196624 ERF196622:ERF196624 EHJ196622:EHJ196624 DXN196622:DXN196624 DNR196622:DNR196624 DDV196622:DDV196624 CTZ196622:CTZ196624 CKD196622:CKD196624 CAH196622:CAH196624 BQL196622:BQL196624 BGP196622:BGP196624 AWT196622:AWT196624 AMX196622:AMX196624 ADB196622:ADB196624 TF196622:TF196624 JJ196622:JJ196624 N196622:N196624 WVV131086:WVV131088 WLZ131086:WLZ131088 WCD131086:WCD131088 VSH131086:VSH131088 VIL131086:VIL131088 UYP131086:UYP131088 UOT131086:UOT131088 UEX131086:UEX131088 TVB131086:TVB131088 TLF131086:TLF131088 TBJ131086:TBJ131088 SRN131086:SRN131088 SHR131086:SHR131088 RXV131086:RXV131088 RNZ131086:RNZ131088 RED131086:RED131088 QUH131086:QUH131088 QKL131086:QKL131088 QAP131086:QAP131088 PQT131086:PQT131088 PGX131086:PGX131088 OXB131086:OXB131088 ONF131086:ONF131088 ODJ131086:ODJ131088 NTN131086:NTN131088 NJR131086:NJR131088 MZV131086:MZV131088 MPZ131086:MPZ131088 MGD131086:MGD131088 LWH131086:LWH131088 LML131086:LML131088 LCP131086:LCP131088 KST131086:KST131088 KIX131086:KIX131088 JZB131086:JZB131088 JPF131086:JPF131088 JFJ131086:JFJ131088 IVN131086:IVN131088 ILR131086:ILR131088 IBV131086:IBV131088 HRZ131086:HRZ131088 HID131086:HID131088 GYH131086:GYH131088 GOL131086:GOL131088 GEP131086:GEP131088 FUT131086:FUT131088 FKX131086:FKX131088 FBB131086:FBB131088 ERF131086:ERF131088 EHJ131086:EHJ131088 DXN131086:DXN131088 DNR131086:DNR131088 DDV131086:DDV131088 CTZ131086:CTZ131088 CKD131086:CKD131088 CAH131086:CAH131088 BQL131086:BQL131088 BGP131086:BGP131088 AWT131086:AWT131088 AMX131086:AMX131088 ADB131086:ADB131088 TF131086:TF131088 JJ131086:JJ131088 N131086:N131088 WVV65550:WVV65552 WLZ65550:WLZ65552 WCD65550:WCD65552 VSH65550:VSH65552 VIL65550:VIL65552 UYP65550:UYP65552 UOT65550:UOT65552 UEX65550:UEX65552 TVB65550:TVB65552 TLF65550:TLF65552 TBJ65550:TBJ65552 SRN65550:SRN65552 SHR65550:SHR65552 RXV65550:RXV65552 RNZ65550:RNZ65552 RED65550:RED65552 QUH65550:QUH65552 QKL65550:QKL65552 QAP65550:QAP65552 PQT65550:PQT65552 PGX65550:PGX65552 OXB65550:OXB65552 ONF65550:ONF65552 ODJ65550:ODJ65552 NTN65550:NTN65552 NJR65550:NJR65552 MZV65550:MZV65552 MPZ65550:MPZ65552 MGD65550:MGD65552 LWH65550:LWH65552 LML65550:LML65552 LCP65550:LCP65552 KST65550:KST65552 KIX65550:KIX65552 JZB65550:JZB65552 JPF65550:JPF65552 JFJ65550:JFJ65552 IVN65550:IVN65552 ILR65550:ILR65552 IBV65550:IBV65552 HRZ65550:HRZ65552 HID65550:HID65552 GYH65550:GYH65552 GOL65550:GOL65552 GEP65550:GEP65552 FUT65550:FUT65552 FKX65550:FKX65552 FBB65550:FBB65552 ERF65550:ERF65552 EHJ65550:EHJ65552 DXN65550:DXN65552 DNR65550:DNR65552 DDV65550:DDV65552 CTZ65550:CTZ65552 CKD65550:CKD65552 CAH65550:CAH65552 BQL65550:BQL65552 BGP65550:BGP65552 AWT65550:AWT65552 AMX65550:AMX65552 ADB65550:ADB65552 TF65550:TF65552 JJ65550:JJ65552">
      <formula1>$L$17:$L$21</formula1>
    </dataValidation>
    <dataValidation type="list" allowBlank="1" showInputMessage="1" showErrorMessage="1" sqref="D51 IX59 ST59 ACP59 AML59 AWH59 BGD59 BPZ59 BZV59 CJR59 CTN59 DDJ59 DNF59 DXB59 EGX59 EQT59 FAP59 FKL59 FUH59 GED59 GNZ59 GXV59 HHR59 HRN59 IBJ59 ILF59 IVB59 JEX59 JOT59 JYP59 KIL59 KSH59 LCD59 LLZ59 LVV59 MFR59 MPN59 MZJ59 NJF59 NTB59 OCX59 OMT59 OWP59 PGL59 PQH59 QAD59 QJZ59 QTV59 RDR59 RNN59 RXJ59 SHF59 SRB59 TAX59 TKT59 TUP59 UEL59 UOH59 UYD59 VHZ59 VRV59 WBR59 WLN59 WVJ59 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formula1>$B$36:$B$37</formula1>
    </dataValidation>
    <dataValidation type="list" allowBlank="1" showInputMessage="1" showErrorMessage="1" sqref="C30:C31">
      <formula1>$D$17:$D$21</formula1>
    </dataValidation>
    <dataValidation type="decimal" operator="greaterThan" allowBlank="1" showInputMessage="1" showErrorMessage="1" sqref="C65576 IY65576 SU65576 ACQ65576 AMM65576 AWI65576 BGE65576 BQA65576 BZW65576 CJS65576 CTO65576 DDK65576 DNG65576 DXC65576 EGY65576 EQU65576 FAQ65576 FKM65576 FUI65576 GEE65576 GOA65576 GXW65576 HHS65576 HRO65576 IBK65576 ILG65576 IVC65576 JEY65576 JOU65576 JYQ65576 KIM65576 KSI65576 LCE65576 LMA65576 LVW65576 MFS65576 MPO65576 MZK65576 NJG65576 NTC65576 OCY65576 OMU65576 OWQ65576 PGM65576 PQI65576 QAE65576 QKA65576 QTW65576 RDS65576 RNO65576 RXK65576 SHG65576 SRC65576 TAY65576 TKU65576 TUQ65576 UEM65576 UOI65576 UYE65576 VIA65576 VRW65576 WBS65576 WLO65576 WVK65576 C131112 IY131112 SU131112 ACQ131112 AMM131112 AWI131112 BGE131112 BQA131112 BZW131112 CJS131112 CTO131112 DDK131112 DNG131112 DXC131112 EGY131112 EQU131112 FAQ131112 FKM131112 FUI131112 GEE131112 GOA131112 GXW131112 HHS131112 HRO131112 IBK131112 ILG131112 IVC131112 JEY131112 JOU131112 JYQ131112 KIM131112 KSI131112 LCE131112 LMA131112 LVW131112 MFS131112 MPO131112 MZK131112 NJG131112 NTC131112 OCY131112 OMU131112 OWQ131112 PGM131112 PQI131112 QAE131112 QKA131112 QTW131112 RDS131112 RNO131112 RXK131112 SHG131112 SRC131112 TAY131112 TKU131112 TUQ131112 UEM131112 UOI131112 UYE131112 VIA131112 VRW131112 WBS131112 WLO131112 WVK131112 C196648 IY196648 SU196648 ACQ196648 AMM196648 AWI196648 BGE196648 BQA196648 BZW196648 CJS196648 CTO196648 DDK196648 DNG196648 DXC196648 EGY196648 EQU196648 FAQ196648 FKM196648 FUI196648 GEE196648 GOA196648 GXW196648 HHS196648 HRO196648 IBK196648 ILG196648 IVC196648 JEY196648 JOU196648 JYQ196648 KIM196648 KSI196648 LCE196648 LMA196648 LVW196648 MFS196648 MPO196648 MZK196648 NJG196648 NTC196648 OCY196648 OMU196648 OWQ196648 PGM196648 PQI196648 QAE196648 QKA196648 QTW196648 RDS196648 RNO196648 RXK196648 SHG196648 SRC196648 TAY196648 TKU196648 TUQ196648 UEM196648 UOI196648 UYE196648 VIA196648 VRW196648 WBS196648 WLO196648 WVK196648 C262184 IY262184 SU262184 ACQ262184 AMM262184 AWI262184 BGE262184 BQA262184 BZW262184 CJS262184 CTO262184 DDK262184 DNG262184 DXC262184 EGY262184 EQU262184 FAQ262184 FKM262184 FUI262184 GEE262184 GOA262184 GXW262184 HHS262184 HRO262184 IBK262184 ILG262184 IVC262184 JEY262184 JOU262184 JYQ262184 KIM262184 KSI262184 LCE262184 LMA262184 LVW262184 MFS262184 MPO262184 MZK262184 NJG262184 NTC262184 OCY262184 OMU262184 OWQ262184 PGM262184 PQI262184 QAE262184 QKA262184 QTW262184 RDS262184 RNO262184 RXK262184 SHG262184 SRC262184 TAY262184 TKU262184 TUQ262184 UEM262184 UOI262184 UYE262184 VIA262184 VRW262184 WBS262184 WLO262184 WVK262184 C327720 IY327720 SU327720 ACQ327720 AMM327720 AWI327720 BGE327720 BQA327720 BZW327720 CJS327720 CTO327720 DDK327720 DNG327720 DXC327720 EGY327720 EQU327720 FAQ327720 FKM327720 FUI327720 GEE327720 GOA327720 GXW327720 HHS327720 HRO327720 IBK327720 ILG327720 IVC327720 JEY327720 JOU327720 JYQ327720 KIM327720 KSI327720 LCE327720 LMA327720 LVW327720 MFS327720 MPO327720 MZK327720 NJG327720 NTC327720 OCY327720 OMU327720 OWQ327720 PGM327720 PQI327720 QAE327720 QKA327720 QTW327720 RDS327720 RNO327720 RXK327720 SHG327720 SRC327720 TAY327720 TKU327720 TUQ327720 UEM327720 UOI327720 UYE327720 VIA327720 VRW327720 WBS327720 WLO327720 WVK327720 C393256 IY393256 SU393256 ACQ393256 AMM393256 AWI393256 BGE393256 BQA393256 BZW393256 CJS393256 CTO393256 DDK393256 DNG393256 DXC393256 EGY393256 EQU393256 FAQ393256 FKM393256 FUI393256 GEE393256 GOA393256 GXW393256 HHS393256 HRO393256 IBK393256 ILG393256 IVC393256 JEY393256 JOU393256 JYQ393256 KIM393256 KSI393256 LCE393256 LMA393256 LVW393256 MFS393256 MPO393256 MZK393256 NJG393256 NTC393256 OCY393256 OMU393256 OWQ393256 PGM393256 PQI393256 QAE393256 QKA393256 QTW393256 RDS393256 RNO393256 RXK393256 SHG393256 SRC393256 TAY393256 TKU393256 TUQ393256 UEM393256 UOI393256 UYE393256 VIA393256 VRW393256 WBS393256 WLO393256 WVK393256 C458792 IY458792 SU458792 ACQ458792 AMM458792 AWI458792 BGE458792 BQA458792 BZW458792 CJS458792 CTO458792 DDK458792 DNG458792 DXC458792 EGY458792 EQU458792 FAQ458792 FKM458792 FUI458792 GEE458792 GOA458792 GXW458792 HHS458792 HRO458792 IBK458792 ILG458792 IVC458792 JEY458792 JOU458792 JYQ458792 KIM458792 KSI458792 LCE458792 LMA458792 LVW458792 MFS458792 MPO458792 MZK458792 NJG458792 NTC458792 OCY458792 OMU458792 OWQ458792 PGM458792 PQI458792 QAE458792 QKA458792 QTW458792 RDS458792 RNO458792 RXK458792 SHG458792 SRC458792 TAY458792 TKU458792 TUQ458792 UEM458792 UOI458792 UYE458792 VIA458792 VRW458792 WBS458792 WLO458792 WVK458792 C524328 IY524328 SU524328 ACQ524328 AMM524328 AWI524328 BGE524328 BQA524328 BZW524328 CJS524328 CTO524328 DDK524328 DNG524328 DXC524328 EGY524328 EQU524328 FAQ524328 FKM524328 FUI524328 GEE524328 GOA524328 GXW524328 HHS524328 HRO524328 IBK524328 ILG524328 IVC524328 JEY524328 JOU524328 JYQ524328 KIM524328 KSI524328 LCE524328 LMA524328 LVW524328 MFS524328 MPO524328 MZK524328 NJG524328 NTC524328 OCY524328 OMU524328 OWQ524328 PGM524328 PQI524328 QAE524328 QKA524328 QTW524328 RDS524328 RNO524328 RXK524328 SHG524328 SRC524328 TAY524328 TKU524328 TUQ524328 UEM524328 UOI524328 UYE524328 VIA524328 VRW524328 WBS524328 WLO524328 WVK524328 C589864 IY589864 SU589864 ACQ589864 AMM589864 AWI589864 BGE589864 BQA589864 BZW589864 CJS589864 CTO589864 DDK589864 DNG589864 DXC589864 EGY589864 EQU589864 FAQ589864 FKM589864 FUI589864 GEE589864 GOA589864 GXW589864 HHS589864 HRO589864 IBK589864 ILG589864 IVC589864 JEY589864 JOU589864 JYQ589864 KIM589864 KSI589864 LCE589864 LMA589864 LVW589864 MFS589864 MPO589864 MZK589864 NJG589864 NTC589864 OCY589864 OMU589864 OWQ589864 PGM589864 PQI589864 QAE589864 QKA589864 QTW589864 RDS589864 RNO589864 RXK589864 SHG589864 SRC589864 TAY589864 TKU589864 TUQ589864 UEM589864 UOI589864 UYE589864 VIA589864 VRW589864 WBS589864 WLO589864 WVK589864 C655400 IY655400 SU655400 ACQ655400 AMM655400 AWI655400 BGE655400 BQA655400 BZW655400 CJS655400 CTO655400 DDK655400 DNG655400 DXC655400 EGY655400 EQU655400 FAQ655400 FKM655400 FUI655400 GEE655400 GOA655400 GXW655400 HHS655400 HRO655400 IBK655400 ILG655400 IVC655400 JEY655400 JOU655400 JYQ655400 KIM655400 KSI655400 LCE655400 LMA655400 LVW655400 MFS655400 MPO655400 MZK655400 NJG655400 NTC655400 OCY655400 OMU655400 OWQ655400 PGM655400 PQI655400 QAE655400 QKA655400 QTW655400 RDS655400 RNO655400 RXK655400 SHG655400 SRC655400 TAY655400 TKU655400 TUQ655400 UEM655400 UOI655400 UYE655400 VIA655400 VRW655400 WBS655400 WLO655400 WVK655400 C720936 IY720936 SU720936 ACQ720936 AMM720936 AWI720936 BGE720936 BQA720936 BZW720936 CJS720936 CTO720936 DDK720936 DNG720936 DXC720936 EGY720936 EQU720936 FAQ720936 FKM720936 FUI720936 GEE720936 GOA720936 GXW720936 HHS720936 HRO720936 IBK720936 ILG720936 IVC720936 JEY720936 JOU720936 JYQ720936 KIM720936 KSI720936 LCE720936 LMA720936 LVW720936 MFS720936 MPO720936 MZK720936 NJG720936 NTC720936 OCY720936 OMU720936 OWQ720936 PGM720936 PQI720936 QAE720936 QKA720936 QTW720936 RDS720936 RNO720936 RXK720936 SHG720936 SRC720936 TAY720936 TKU720936 TUQ720936 UEM720936 UOI720936 UYE720936 VIA720936 VRW720936 WBS720936 WLO720936 WVK720936 C786472 IY786472 SU786472 ACQ786472 AMM786472 AWI786472 BGE786472 BQA786472 BZW786472 CJS786472 CTO786472 DDK786472 DNG786472 DXC786472 EGY786472 EQU786472 FAQ786472 FKM786472 FUI786472 GEE786472 GOA786472 GXW786472 HHS786472 HRO786472 IBK786472 ILG786472 IVC786472 JEY786472 JOU786472 JYQ786472 KIM786472 KSI786472 LCE786472 LMA786472 LVW786472 MFS786472 MPO786472 MZK786472 NJG786472 NTC786472 OCY786472 OMU786472 OWQ786472 PGM786472 PQI786472 QAE786472 QKA786472 QTW786472 RDS786472 RNO786472 RXK786472 SHG786472 SRC786472 TAY786472 TKU786472 TUQ786472 UEM786472 UOI786472 UYE786472 VIA786472 VRW786472 WBS786472 WLO786472 WVK786472 C852008 IY852008 SU852008 ACQ852008 AMM852008 AWI852008 BGE852008 BQA852008 BZW852008 CJS852008 CTO852008 DDK852008 DNG852008 DXC852008 EGY852008 EQU852008 FAQ852008 FKM852008 FUI852008 GEE852008 GOA852008 GXW852008 HHS852008 HRO852008 IBK852008 ILG852008 IVC852008 JEY852008 JOU852008 JYQ852008 KIM852008 KSI852008 LCE852008 LMA852008 LVW852008 MFS852008 MPO852008 MZK852008 NJG852008 NTC852008 OCY852008 OMU852008 OWQ852008 PGM852008 PQI852008 QAE852008 QKA852008 QTW852008 RDS852008 RNO852008 RXK852008 SHG852008 SRC852008 TAY852008 TKU852008 TUQ852008 UEM852008 UOI852008 UYE852008 VIA852008 VRW852008 WBS852008 WLO852008 WVK852008 C917544 IY917544 SU917544 ACQ917544 AMM917544 AWI917544 BGE917544 BQA917544 BZW917544 CJS917544 CTO917544 DDK917544 DNG917544 DXC917544 EGY917544 EQU917544 FAQ917544 FKM917544 FUI917544 GEE917544 GOA917544 GXW917544 HHS917544 HRO917544 IBK917544 ILG917544 IVC917544 JEY917544 JOU917544 JYQ917544 KIM917544 KSI917544 LCE917544 LMA917544 LVW917544 MFS917544 MPO917544 MZK917544 NJG917544 NTC917544 OCY917544 OMU917544 OWQ917544 PGM917544 PQI917544 QAE917544 QKA917544 QTW917544 RDS917544 RNO917544 RXK917544 SHG917544 SRC917544 TAY917544 TKU917544 TUQ917544 UEM917544 UOI917544 UYE917544 VIA917544 VRW917544 WBS917544 WLO917544 WVK917544 C983080 IY983080 SU983080 ACQ983080 AMM983080 AWI983080 BGE983080 BQA983080 BZW983080 CJS983080 CTO983080 DDK983080 DNG983080 DXC983080 EGY983080 EQU983080 FAQ983080 FKM983080 FUI983080 GEE983080 GOA983080 GXW983080 HHS983080 HRO983080 IBK983080 ILG983080 IVC983080 JEY983080 JOU983080 JYQ983080 KIM983080 KSI983080 LCE983080 LMA983080 LVW983080 MFS983080 MPO983080 MZK983080 NJG983080 NTC983080 OCY983080 OMU983080 OWQ983080 PGM983080 PQI983080 QAE983080 QKA983080 QTW983080 RDS983080 RNO983080 RXK983080 SHG983080 SRC983080 TAY983080 TKU983080 TUQ983080 UEM983080 UOI983080 UYE983080 VIA983080 VRW983080 WBS983080 WLO983080 WVK983080">
      <formula1>0</formula1>
    </dataValidation>
    <dataValidation type="list" allowBlank="1" showInputMessage="1" showErrorMessage="1" sqref="WVM983054 JA30:JA32 SW30:SW32 ACS30:ACS32 AMO30:AMO32 AWK30:AWK32 BGG30:BGG32 BQC30:BQC32 BZY30:BZY32 CJU30:CJU32 CTQ30:CTQ32 DDM30:DDM32 DNI30:DNI32 DXE30:DXE32 EHA30:EHA32 EQW30:EQW32 FAS30:FAS32 FKO30:FKO32 FUK30:FUK32 GEG30:GEG32 GOC30:GOC32 GXY30:GXY32 HHU30:HHU32 HRQ30:HRQ32 IBM30:IBM32 ILI30:ILI32 IVE30:IVE32 JFA30:JFA32 JOW30:JOW32 JYS30:JYS32 KIO30:KIO32 KSK30:KSK32 LCG30:LCG32 LMC30:LMC32 LVY30:LVY32 MFU30:MFU32 MPQ30:MPQ32 MZM30:MZM32 NJI30:NJI32 NTE30:NTE32 ODA30:ODA32 OMW30:OMW32 OWS30:OWS32 PGO30:PGO32 PQK30:PQK32 QAG30:QAG32 QKC30:QKC32 QTY30:QTY32 RDU30:RDU32 RNQ30:RNQ32 RXM30:RXM32 SHI30:SHI32 SRE30:SRE32 TBA30:TBA32 TKW30:TKW32 TUS30:TUS32 UEO30:UEO32 UOK30:UOK32 UYG30:UYG32 VIC30:VIC32 VRY30:VRY32 WBU30:WBU32 WLQ30:WLQ32 WVM30:WVM32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E30:E31">
      <formula1>$H$17:$H$20</formula1>
    </dataValidation>
  </dataValidations>
  <pageMargins left="0.7" right="0.7" top="0.75" bottom="0.75" header="0.3" footer="0.3"/>
  <ignoredErrors>
    <ignoredError sqref="D7:F7 D5:I5 D6:F6 H6:I6 H7:I7" unlockedFormula="1"/>
  </ignoredError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0"/>
  <sheetViews>
    <sheetView topLeftCell="C145" zoomScale="109" zoomScaleNormal="100" workbookViewId="0">
      <selection activeCell="C150" sqref="C150"/>
    </sheetView>
  </sheetViews>
  <sheetFormatPr baseColWidth="10" defaultColWidth="11.44140625" defaultRowHeight="13.8" x14ac:dyDescent="0.3"/>
  <cols>
    <col min="1" max="1" width="37.33203125" style="457" customWidth="1"/>
    <col min="2" max="2" width="39.44140625" style="457" customWidth="1"/>
    <col min="3" max="3" width="35.109375" style="457" customWidth="1"/>
    <col min="4" max="4" width="28" style="457" customWidth="1"/>
    <col min="5" max="5" width="26.6640625" style="457" customWidth="1"/>
    <col min="6" max="6" width="29.109375" style="457" customWidth="1"/>
    <col min="7" max="7" width="49.6640625" style="457" customWidth="1"/>
    <col min="8" max="8" width="33.109375" style="459" customWidth="1"/>
    <col min="9" max="9" width="33" style="459" customWidth="1"/>
    <col min="10" max="11" width="29" style="457" customWidth="1"/>
    <col min="12" max="12" width="22.6640625" style="457" customWidth="1"/>
    <col min="13" max="14" width="11.44140625" style="457"/>
    <col min="15" max="15" width="16.44140625" style="457" customWidth="1"/>
    <col min="16" max="256" width="11.44140625" style="457"/>
    <col min="257" max="257" width="37.33203125" style="457" customWidth="1"/>
    <col min="258" max="258" width="39.44140625" style="457" customWidth="1"/>
    <col min="259" max="259" width="35.109375" style="457" customWidth="1"/>
    <col min="260" max="260" width="28" style="457" customWidth="1"/>
    <col min="261" max="261" width="26.6640625" style="457" customWidth="1"/>
    <col min="262" max="262" width="23.6640625" style="457" customWidth="1"/>
    <col min="263" max="263" width="30.6640625" style="457" bestFit="1" customWidth="1"/>
    <col min="264" max="264" width="24.109375" style="457" customWidth="1"/>
    <col min="265" max="265" width="30.44140625" style="457" customWidth="1"/>
    <col min="266" max="267" width="29" style="457" customWidth="1"/>
    <col min="268" max="268" width="22.6640625" style="457" customWidth="1"/>
    <col min="269" max="270" width="11.44140625" style="457"/>
    <col min="271" max="271" width="16.44140625" style="457" customWidth="1"/>
    <col min="272" max="512" width="11.44140625" style="457"/>
    <col min="513" max="513" width="37.33203125" style="457" customWidth="1"/>
    <col min="514" max="514" width="39.44140625" style="457" customWidth="1"/>
    <col min="515" max="515" width="35.109375" style="457" customWidth="1"/>
    <col min="516" max="516" width="28" style="457" customWidth="1"/>
    <col min="517" max="517" width="26.6640625" style="457" customWidth="1"/>
    <col min="518" max="518" width="23.6640625" style="457" customWidth="1"/>
    <col min="519" max="519" width="30.6640625" style="457" bestFit="1" customWidth="1"/>
    <col min="520" max="520" width="24.109375" style="457" customWidth="1"/>
    <col min="521" max="521" width="30.44140625" style="457" customWidth="1"/>
    <col min="522" max="523" width="29" style="457" customWidth="1"/>
    <col min="524" max="524" width="22.6640625" style="457" customWidth="1"/>
    <col min="525" max="526" width="11.44140625" style="457"/>
    <col min="527" max="527" width="16.44140625" style="457" customWidth="1"/>
    <col min="528" max="768" width="11.44140625" style="457"/>
    <col min="769" max="769" width="37.33203125" style="457" customWidth="1"/>
    <col min="770" max="770" width="39.44140625" style="457" customWidth="1"/>
    <col min="771" max="771" width="35.109375" style="457" customWidth="1"/>
    <col min="772" max="772" width="28" style="457" customWidth="1"/>
    <col min="773" max="773" width="26.6640625" style="457" customWidth="1"/>
    <col min="774" max="774" width="23.6640625" style="457" customWidth="1"/>
    <col min="775" max="775" width="30.6640625" style="457" bestFit="1" customWidth="1"/>
    <col min="776" max="776" width="24.109375" style="457" customWidth="1"/>
    <col min="777" max="777" width="30.44140625" style="457" customWidth="1"/>
    <col min="778" max="779" width="29" style="457" customWidth="1"/>
    <col min="780" max="780" width="22.6640625" style="457" customWidth="1"/>
    <col min="781" max="782" width="11.44140625" style="457"/>
    <col min="783" max="783" width="16.44140625" style="457" customWidth="1"/>
    <col min="784" max="1024" width="11.44140625" style="457"/>
    <col min="1025" max="1025" width="37.33203125" style="457" customWidth="1"/>
    <col min="1026" max="1026" width="39.44140625" style="457" customWidth="1"/>
    <col min="1027" max="1027" width="35.109375" style="457" customWidth="1"/>
    <col min="1028" max="1028" width="28" style="457" customWidth="1"/>
    <col min="1029" max="1029" width="26.6640625" style="457" customWidth="1"/>
    <col min="1030" max="1030" width="23.6640625" style="457" customWidth="1"/>
    <col min="1031" max="1031" width="30.6640625" style="457" bestFit="1" customWidth="1"/>
    <col min="1032" max="1032" width="24.109375" style="457" customWidth="1"/>
    <col min="1033" max="1033" width="30.44140625" style="457" customWidth="1"/>
    <col min="1034" max="1035" width="29" style="457" customWidth="1"/>
    <col min="1036" max="1036" width="22.6640625" style="457" customWidth="1"/>
    <col min="1037" max="1038" width="11.44140625" style="457"/>
    <col min="1039" max="1039" width="16.44140625" style="457" customWidth="1"/>
    <col min="1040" max="1280" width="11.44140625" style="457"/>
    <col min="1281" max="1281" width="37.33203125" style="457" customWidth="1"/>
    <col min="1282" max="1282" width="39.44140625" style="457" customWidth="1"/>
    <col min="1283" max="1283" width="35.109375" style="457" customWidth="1"/>
    <col min="1284" max="1284" width="28" style="457" customWidth="1"/>
    <col min="1285" max="1285" width="26.6640625" style="457" customWidth="1"/>
    <col min="1286" max="1286" width="23.6640625" style="457" customWidth="1"/>
    <col min="1287" max="1287" width="30.6640625" style="457" bestFit="1" customWidth="1"/>
    <col min="1288" max="1288" width="24.109375" style="457" customWidth="1"/>
    <col min="1289" max="1289" width="30.44140625" style="457" customWidth="1"/>
    <col min="1290" max="1291" width="29" style="457" customWidth="1"/>
    <col min="1292" max="1292" width="22.6640625" style="457" customWidth="1"/>
    <col min="1293" max="1294" width="11.44140625" style="457"/>
    <col min="1295" max="1295" width="16.44140625" style="457" customWidth="1"/>
    <col min="1296" max="1536" width="11.44140625" style="457"/>
    <col min="1537" max="1537" width="37.33203125" style="457" customWidth="1"/>
    <col min="1538" max="1538" width="39.44140625" style="457" customWidth="1"/>
    <col min="1539" max="1539" width="35.109375" style="457" customWidth="1"/>
    <col min="1540" max="1540" width="28" style="457" customWidth="1"/>
    <col min="1541" max="1541" width="26.6640625" style="457" customWidth="1"/>
    <col min="1542" max="1542" width="23.6640625" style="457" customWidth="1"/>
    <col min="1543" max="1543" width="30.6640625" style="457" bestFit="1" customWidth="1"/>
    <col min="1544" max="1544" width="24.109375" style="457" customWidth="1"/>
    <col min="1545" max="1545" width="30.44140625" style="457" customWidth="1"/>
    <col min="1546" max="1547" width="29" style="457" customWidth="1"/>
    <col min="1548" max="1548" width="22.6640625" style="457" customWidth="1"/>
    <col min="1549" max="1550" width="11.44140625" style="457"/>
    <col min="1551" max="1551" width="16.44140625" style="457" customWidth="1"/>
    <col min="1552" max="1792" width="11.44140625" style="457"/>
    <col min="1793" max="1793" width="37.33203125" style="457" customWidth="1"/>
    <col min="1794" max="1794" width="39.44140625" style="457" customWidth="1"/>
    <col min="1795" max="1795" width="35.109375" style="457" customWidth="1"/>
    <col min="1796" max="1796" width="28" style="457" customWidth="1"/>
    <col min="1797" max="1797" width="26.6640625" style="457" customWidth="1"/>
    <col min="1798" max="1798" width="23.6640625" style="457" customWidth="1"/>
    <col min="1799" max="1799" width="30.6640625" style="457" bestFit="1" customWidth="1"/>
    <col min="1800" max="1800" width="24.109375" style="457" customWidth="1"/>
    <col min="1801" max="1801" width="30.44140625" style="457" customWidth="1"/>
    <col min="1802" max="1803" width="29" style="457" customWidth="1"/>
    <col min="1804" max="1804" width="22.6640625" style="457" customWidth="1"/>
    <col min="1805" max="1806" width="11.44140625" style="457"/>
    <col min="1807" max="1807" width="16.44140625" style="457" customWidth="1"/>
    <col min="1808" max="2048" width="11.44140625" style="457"/>
    <col min="2049" max="2049" width="37.33203125" style="457" customWidth="1"/>
    <col min="2050" max="2050" width="39.44140625" style="457" customWidth="1"/>
    <col min="2051" max="2051" width="35.109375" style="457" customWidth="1"/>
    <col min="2052" max="2052" width="28" style="457" customWidth="1"/>
    <col min="2053" max="2053" width="26.6640625" style="457" customWidth="1"/>
    <col min="2054" max="2054" width="23.6640625" style="457" customWidth="1"/>
    <col min="2055" max="2055" width="30.6640625" style="457" bestFit="1" customWidth="1"/>
    <col min="2056" max="2056" width="24.109375" style="457" customWidth="1"/>
    <col min="2057" max="2057" width="30.44140625" style="457" customWidth="1"/>
    <col min="2058" max="2059" width="29" style="457" customWidth="1"/>
    <col min="2060" max="2060" width="22.6640625" style="457" customWidth="1"/>
    <col min="2061" max="2062" width="11.44140625" style="457"/>
    <col min="2063" max="2063" width="16.44140625" style="457" customWidth="1"/>
    <col min="2064" max="2304" width="11.44140625" style="457"/>
    <col min="2305" max="2305" width="37.33203125" style="457" customWidth="1"/>
    <col min="2306" max="2306" width="39.44140625" style="457" customWidth="1"/>
    <col min="2307" max="2307" width="35.109375" style="457" customWidth="1"/>
    <col min="2308" max="2308" width="28" style="457" customWidth="1"/>
    <col min="2309" max="2309" width="26.6640625" style="457" customWidth="1"/>
    <col min="2310" max="2310" width="23.6640625" style="457" customWidth="1"/>
    <col min="2311" max="2311" width="30.6640625" style="457" bestFit="1" customWidth="1"/>
    <col min="2312" max="2312" width="24.109375" style="457" customWidth="1"/>
    <col min="2313" max="2313" width="30.44140625" style="457" customWidth="1"/>
    <col min="2314" max="2315" width="29" style="457" customWidth="1"/>
    <col min="2316" max="2316" width="22.6640625" style="457" customWidth="1"/>
    <col min="2317" max="2318" width="11.44140625" style="457"/>
    <col min="2319" max="2319" width="16.44140625" style="457" customWidth="1"/>
    <col min="2320" max="2560" width="11.44140625" style="457"/>
    <col min="2561" max="2561" width="37.33203125" style="457" customWidth="1"/>
    <col min="2562" max="2562" width="39.44140625" style="457" customWidth="1"/>
    <col min="2563" max="2563" width="35.109375" style="457" customWidth="1"/>
    <col min="2564" max="2564" width="28" style="457" customWidth="1"/>
    <col min="2565" max="2565" width="26.6640625" style="457" customWidth="1"/>
    <col min="2566" max="2566" width="23.6640625" style="457" customWidth="1"/>
    <col min="2567" max="2567" width="30.6640625" style="457" bestFit="1" customWidth="1"/>
    <col min="2568" max="2568" width="24.109375" style="457" customWidth="1"/>
    <col min="2569" max="2569" width="30.44140625" style="457" customWidth="1"/>
    <col min="2570" max="2571" width="29" style="457" customWidth="1"/>
    <col min="2572" max="2572" width="22.6640625" style="457" customWidth="1"/>
    <col min="2573" max="2574" width="11.44140625" style="457"/>
    <col min="2575" max="2575" width="16.44140625" style="457" customWidth="1"/>
    <col min="2576" max="2816" width="11.44140625" style="457"/>
    <col min="2817" max="2817" width="37.33203125" style="457" customWidth="1"/>
    <col min="2818" max="2818" width="39.44140625" style="457" customWidth="1"/>
    <col min="2819" max="2819" width="35.109375" style="457" customWidth="1"/>
    <col min="2820" max="2820" width="28" style="457" customWidth="1"/>
    <col min="2821" max="2821" width="26.6640625" style="457" customWidth="1"/>
    <col min="2822" max="2822" width="23.6640625" style="457" customWidth="1"/>
    <col min="2823" max="2823" width="30.6640625" style="457" bestFit="1" customWidth="1"/>
    <col min="2824" max="2824" width="24.109375" style="457" customWidth="1"/>
    <col min="2825" max="2825" width="30.44140625" style="457" customWidth="1"/>
    <col min="2826" max="2827" width="29" style="457" customWidth="1"/>
    <col min="2828" max="2828" width="22.6640625" style="457" customWidth="1"/>
    <col min="2829" max="2830" width="11.44140625" style="457"/>
    <col min="2831" max="2831" width="16.44140625" style="457" customWidth="1"/>
    <col min="2832" max="3072" width="11.44140625" style="457"/>
    <col min="3073" max="3073" width="37.33203125" style="457" customWidth="1"/>
    <col min="3074" max="3074" width="39.44140625" style="457" customWidth="1"/>
    <col min="3075" max="3075" width="35.109375" style="457" customWidth="1"/>
    <col min="3076" max="3076" width="28" style="457" customWidth="1"/>
    <col min="3077" max="3077" width="26.6640625" style="457" customWidth="1"/>
    <col min="3078" max="3078" width="23.6640625" style="457" customWidth="1"/>
    <col min="3079" max="3079" width="30.6640625" style="457" bestFit="1" customWidth="1"/>
    <col min="3080" max="3080" width="24.109375" style="457" customWidth="1"/>
    <col min="3081" max="3081" width="30.44140625" style="457" customWidth="1"/>
    <col min="3082" max="3083" width="29" style="457" customWidth="1"/>
    <col min="3084" max="3084" width="22.6640625" style="457" customWidth="1"/>
    <col min="3085" max="3086" width="11.44140625" style="457"/>
    <col min="3087" max="3087" width="16.44140625" style="457" customWidth="1"/>
    <col min="3088" max="3328" width="11.44140625" style="457"/>
    <col min="3329" max="3329" width="37.33203125" style="457" customWidth="1"/>
    <col min="3330" max="3330" width="39.44140625" style="457" customWidth="1"/>
    <col min="3331" max="3331" width="35.109375" style="457" customWidth="1"/>
    <col min="3332" max="3332" width="28" style="457" customWidth="1"/>
    <col min="3333" max="3333" width="26.6640625" style="457" customWidth="1"/>
    <col min="3334" max="3334" width="23.6640625" style="457" customWidth="1"/>
    <col min="3335" max="3335" width="30.6640625" style="457" bestFit="1" customWidth="1"/>
    <col min="3336" max="3336" width="24.109375" style="457" customWidth="1"/>
    <col min="3337" max="3337" width="30.44140625" style="457" customWidth="1"/>
    <col min="3338" max="3339" width="29" style="457" customWidth="1"/>
    <col min="3340" max="3340" width="22.6640625" style="457" customWidth="1"/>
    <col min="3341" max="3342" width="11.44140625" style="457"/>
    <col min="3343" max="3343" width="16.44140625" style="457" customWidth="1"/>
    <col min="3344" max="3584" width="11.44140625" style="457"/>
    <col min="3585" max="3585" width="37.33203125" style="457" customWidth="1"/>
    <col min="3586" max="3586" width="39.44140625" style="457" customWidth="1"/>
    <col min="3587" max="3587" width="35.109375" style="457" customWidth="1"/>
    <col min="3588" max="3588" width="28" style="457" customWidth="1"/>
    <col min="3589" max="3589" width="26.6640625" style="457" customWidth="1"/>
    <col min="3590" max="3590" width="23.6640625" style="457" customWidth="1"/>
    <col min="3591" max="3591" width="30.6640625" style="457" bestFit="1" customWidth="1"/>
    <col min="3592" max="3592" width="24.109375" style="457" customWidth="1"/>
    <col min="3593" max="3593" width="30.44140625" style="457" customWidth="1"/>
    <col min="3594" max="3595" width="29" style="457" customWidth="1"/>
    <col min="3596" max="3596" width="22.6640625" style="457" customWidth="1"/>
    <col min="3597" max="3598" width="11.44140625" style="457"/>
    <col min="3599" max="3599" width="16.44140625" style="457" customWidth="1"/>
    <col min="3600" max="3840" width="11.44140625" style="457"/>
    <col min="3841" max="3841" width="37.33203125" style="457" customWidth="1"/>
    <col min="3842" max="3842" width="39.44140625" style="457" customWidth="1"/>
    <col min="3843" max="3843" width="35.109375" style="457" customWidth="1"/>
    <col min="3844" max="3844" width="28" style="457" customWidth="1"/>
    <col min="3845" max="3845" width="26.6640625" style="457" customWidth="1"/>
    <col min="3846" max="3846" width="23.6640625" style="457" customWidth="1"/>
    <col min="3847" max="3847" width="30.6640625" style="457" bestFit="1" customWidth="1"/>
    <col min="3848" max="3848" width="24.109375" style="457" customWidth="1"/>
    <col min="3849" max="3849" width="30.44140625" style="457" customWidth="1"/>
    <col min="3850" max="3851" width="29" style="457" customWidth="1"/>
    <col min="3852" max="3852" width="22.6640625" style="457" customWidth="1"/>
    <col min="3853" max="3854" width="11.44140625" style="457"/>
    <col min="3855" max="3855" width="16.44140625" style="457" customWidth="1"/>
    <col min="3856" max="4096" width="11.44140625" style="457"/>
    <col min="4097" max="4097" width="37.33203125" style="457" customWidth="1"/>
    <col min="4098" max="4098" width="39.44140625" style="457" customWidth="1"/>
    <col min="4099" max="4099" width="35.109375" style="457" customWidth="1"/>
    <col min="4100" max="4100" width="28" style="457" customWidth="1"/>
    <col min="4101" max="4101" width="26.6640625" style="457" customWidth="1"/>
    <col min="4102" max="4102" width="23.6640625" style="457" customWidth="1"/>
    <col min="4103" max="4103" width="30.6640625" style="457" bestFit="1" customWidth="1"/>
    <col min="4104" max="4104" width="24.109375" style="457" customWidth="1"/>
    <col min="4105" max="4105" width="30.44140625" style="457" customWidth="1"/>
    <col min="4106" max="4107" width="29" style="457" customWidth="1"/>
    <col min="4108" max="4108" width="22.6640625" style="457" customWidth="1"/>
    <col min="4109" max="4110" width="11.44140625" style="457"/>
    <col min="4111" max="4111" width="16.44140625" style="457" customWidth="1"/>
    <col min="4112" max="4352" width="11.44140625" style="457"/>
    <col min="4353" max="4353" width="37.33203125" style="457" customWidth="1"/>
    <col min="4354" max="4354" width="39.44140625" style="457" customWidth="1"/>
    <col min="4355" max="4355" width="35.109375" style="457" customWidth="1"/>
    <col min="4356" max="4356" width="28" style="457" customWidth="1"/>
    <col min="4357" max="4357" width="26.6640625" style="457" customWidth="1"/>
    <col min="4358" max="4358" width="23.6640625" style="457" customWidth="1"/>
    <col min="4359" max="4359" width="30.6640625" style="457" bestFit="1" customWidth="1"/>
    <col min="4360" max="4360" width="24.109375" style="457" customWidth="1"/>
    <col min="4361" max="4361" width="30.44140625" style="457" customWidth="1"/>
    <col min="4362" max="4363" width="29" style="457" customWidth="1"/>
    <col min="4364" max="4364" width="22.6640625" style="457" customWidth="1"/>
    <col min="4365" max="4366" width="11.44140625" style="457"/>
    <col min="4367" max="4367" width="16.44140625" style="457" customWidth="1"/>
    <col min="4368" max="4608" width="11.44140625" style="457"/>
    <col min="4609" max="4609" width="37.33203125" style="457" customWidth="1"/>
    <col min="4610" max="4610" width="39.44140625" style="457" customWidth="1"/>
    <col min="4611" max="4611" width="35.109375" style="457" customWidth="1"/>
    <col min="4612" max="4612" width="28" style="457" customWidth="1"/>
    <col min="4613" max="4613" width="26.6640625" style="457" customWidth="1"/>
    <col min="4614" max="4614" width="23.6640625" style="457" customWidth="1"/>
    <col min="4615" max="4615" width="30.6640625" style="457" bestFit="1" customWidth="1"/>
    <col min="4616" max="4616" width="24.109375" style="457" customWidth="1"/>
    <col min="4617" max="4617" width="30.44140625" style="457" customWidth="1"/>
    <col min="4618" max="4619" width="29" style="457" customWidth="1"/>
    <col min="4620" max="4620" width="22.6640625" style="457" customWidth="1"/>
    <col min="4621" max="4622" width="11.44140625" style="457"/>
    <col min="4623" max="4623" width="16.44140625" style="457" customWidth="1"/>
    <col min="4624" max="4864" width="11.44140625" style="457"/>
    <col min="4865" max="4865" width="37.33203125" style="457" customWidth="1"/>
    <col min="4866" max="4866" width="39.44140625" style="457" customWidth="1"/>
    <col min="4867" max="4867" width="35.109375" style="457" customWidth="1"/>
    <col min="4868" max="4868" width="28" style="457" customWidth="1"/>
    <col min="4869" max="4869" width="26.6640625" style="457" customWidth="1"/>
    <col min="4870" max="4870" width="23.6640625" style="457" customWidth="1"/>
    <col min="4871" max="4871" width="30.6640625" style="457" bestFit="1" customWidth="1"/>
    <col min="4872" max="4872" width="24.109375" style="457" customWidth="1"/>
    <col min="4873" max="4873" width="30.44140625" style="457" customWidth="1"/>
    <col min="4874" max="4875" width="29" style="457" customWidth="1"/>
    <col min="4876" max="4876" width="22.6640625" style="457" customWidth="1"/>
    <col min="4877" max="4878" width="11.44140625" style="457"/>
    <col min="4879" max="4879" width="16.44140625" style="457" customWidth="1"/>
    <col min="4880" max="5120" width="11.44140625" style="457"/>
    <col min="5121" max="5121" width="37.33203125" style="457" customWidth="1"/>
    <col min="5122" max="5122" width="39.44140625" style="457" customWidth="1"/>
    <col min="5123" max="5123" width="35.109375" style="457" customWidth="1"/>
    <col min="5124" max="5124" width="28" style="457" customWidth="1"/>
    <col min="5125" max="5125" width="26.6640625" style="457" customWidth="1"/>
    <col min="5126" max="5126" width="23.6640625" style="457" customWidth="1"/>
    <col min="5127" max="5127" width="30.6640625" style="457" bestFit="1" customWidth="1"/>
    <col min="5128" max="5128" width="24.109375" style="457" customWidth="1"/>
    <col min="5129" max="5129" width="30.44140625" style="457" customWidth="1"/>
    <col min="5130" max="5131" width="29" style="457" customWidth="1"/>
    <col min="5132" max="5132" width="22.6640625" style="457" customWidth="1"/>
    <col min="5133" max="5134" width="11.44140625" style="457"/>
    <col min="5135" max="5135" width="16.44140625" style="457" customWidth="1"/>
    <col min="5136" max="5376" width="11.44140625" style="457"/>
    <col min="5377" max="5377" width="37.33203125" style="457" customWidth="1"/>
    <col min="5378" max="5378" width="39.44140625" style="457" customWidth="1"/>
    <col min="5379" max="5379" width="35.109375" style="457" customWidth="1"/>
    <col min="5380" max="5380" width="28" style="457" customWidth="1"/>
    <col min="5381" max="5381" width="26.6640625" style="457" customWidth="1"/>
    <col min="5382" max="5382" width="23.6640625" style="457" customWidth="1"/>
    <col min="5383" max="5383" width="30.6640625" style="457" bestFit="1" customWidth="1"/>
    <col min="5384" max="5384" width="24.109375" style="457" customWidth="1"/>
    <col min="5385" max="5385" width="30.44140625" style="457" customWidth="1"/>
    <col min="5386" max="5387" width="29" style="457" customWidth="1"/>
    <col min="5388" max="5388" width="22.6640625" style="457" customWidth="1"/>
    <col min="5389" max="5390" width="11.44140625" style="457"/>
    <col min="5391" max="5391" width="16.44140625" style="457" customWidth="1"/>
    <col min="5392" max="5632" width="11.44140625" style="457"/>
    <col min="5633" max="5633" width="37.33203125" style="457" customWidth="1"/>
    <col min="5634" max="5634" width="39.44140625" style="457" customWidth="1"/>
    <col min="5635" max="5635" width="35.109375" style="457" customWidth="1"/>
    <col min="5636" max="5636" width="28" style="457" customWidth="1"/>
    <col min="5637" max="5637" width="26.6640625" style="457" customWidth="1"/>
    <col min="5638" max="5638" width="23.6640625" style="457" customWidth="1"/>
    <col min="5639" max="5639" width="30.6640625" style="457" bestFit="1" customWidth="1"/>
    <col min="5640" max="5640" width="24.109375" style="457" customWidth="1"/>
    <col min="5641" max="5641" width="30.44140625" style="457" customWidth="1"/>
    <col min="5642" max="5643" width="29" style="457" customWidth="1"/>
    <col min="5644" max="5644" width="22.6640625" style="457" customWidth="1"/>
    <col min="5645" max="5646" width="11.44140625" style="457"/>
    <col min="5647" max="5647" width="16.44140625" style="457" customWidth="1"/>
    <col min="5648" max="5888" width="11.44140625" style="457"/>
    <col min="5889" max="5889" width="37.33203125" style="457" customWidth="1"/>
    <col min="5890" max="5890" width="39.44140625" style="457" customWidth="1"/>
    <col min="5891" max="5891" width="35.109375" style="457" customWidth="1"/>
    <col min="5892" max="5892" width="28" style="457" customWidth="1"/>
    <col min="5893" max="5893" width="26.6640625" style="457" customWidth="1"/>
    <col min="5894" max="5894" width="23.6640625" style="457" customWidth="1"/>
    <col min="5895" max="5895" width="30.6640625" style="457" bestFit="1" customWidth="1"/>
    <col min="5896" max="5896" width="24.109375" style="457" customWidth="1"/>
    <col min="5897" max="5897" width="30.44140625" style="457" customWidth="1"/>
    <col min="5898" max="5899" width="29" style="457" customWidth="1"/>
    <col min="5900" max="5900" width="22.6640625" style="457" customWidth="1"/>
    <col min="5901" max="5902" width="11.44140625" style="457"/>
    <col min="5903" max="5903" width="16.44140625" style="457" customWidth="1"/>
    <col min="5904" max="6144" width="11.44140625" style="457"/>
    <col min="6145" max="6145" width="37.33203125" style="457" customWidth="1"/>
    <col min="6146" max="6146" width="39.44140625" style="457" customWidth="1"/>
    <col min="6147" max="6147" width="35.109375" style="457" customWidth="1"/>
    <col min="6148" max="6148" width="28" style="457" customWidth="1"/>
    <col min="6149" max="6149" width="26.6640625" style="457" customWidth="1"/>
    <col min="6150" max="6150" width="23.6640625" style="457" customWidth="1"/>
    <col min="6151" max="6151" width="30.6640625" style="457" bestFit="1" customWidth="1"/>
    <col min="6152" max="6152" width="24.109375" style="457" customWidth="1"/>
    <col min="6153" max="6153" width="30.44140625" style="457" customWidth="1"/>
    <col min="6154" max="6155" width="29" style="457" customWidth="1"/>
    <col min="6156" max="6156" width="22.6640625" style="457" customWidth="1"/>
    <col min="6157" max="6158" width="11.44140625" style="457"/>
    <col min="6159" max="6159" width="16.44140625" style="457" customWidth="1"/>
    <col min="6160" max="6400" width="11.44140625" style="457"/>
    <col min="6401" max="6401" width="37.33203125" style="457" customWidth="1"/>
    <col min="6402" max="6402" width="39.44140625" style="457" customWidth="1"/>
    <col min="6403" max="6403" width="35.109375" style="457" customWidth="1"/>
    <col min="6404" max="6404" width="28" style="457" customWidth="1"/>
    <col min="6405" max="6405" width="26.6640625" style="457" customWidth="1"/>
    <col min="6406" max="6406" width="23.6640625" style="457" customWidth="1"/>
    <col min="6407" max="6407" width="30.6640625" style="457" bestFit="1" customWidth="1"/>
    <col min="6408" max="6408" width="24.109375" style="457" customWidth="1"/>
    <col min="6409" max="6409" width="30.44140625" style="457" customWidth="1"/>
    <col min="6410" max="6411" width="29" style="457" customWidth="1"/>
    <col min="6412" max="6412" width="22.6640625" style="457" customWidth="1"/>
    <col min="6413" max="6414" width="11.44140625" style="457"/>
    <col min="6415" max="6415" width="16.44140625" style="457" customWidth="1"/>
    <col min="6416" max="6656" width="11.44140625" style="457"/>
    <col min="6657" max="6657" width="37.33203125" style="457" customWidth="1"/>
    <col min="6658" max="6658" width="39.44140625" style="457" customWidth="1"/>
    <col min="6659" max="6659" width="35.109375" style="457" customWidth="1"/>
    <col min="6660" max="6660" width="28" style="457" customWidth="1"/>
    <col min="6661" max="6661" width="26.6640625" style="457" customWidth="1"/>
    <col min="6662" max="6662" width="23.6640625" style="457" customWidth="1"/>
    <col min="6663" max="6663" width="30.6640625" style="457" bestFit="1" customWidth="1"/>
    <col min="6664" max="6664" width="24.109375" style="457" customWidth="1"/>
    <col min="6665" max="6665" width="30.44140625" style="457" customWidth="1"/>
    <col min="6666" max="6667" width="29" style="457" customWidth="1"/>
    <col min="6668" max="6668" width="22.6640625" style="457" customWidth="1"/>
    <col min="6669" max="6670" width="11.44140625" style="457"/>
    <col min="6671" max="6671" width="16.44140625" style="457" customWidth="1"/>
    <col min="6672" max="6912" width="11.44140625" style="457"/>
    <col min="6913" max="6913" width="37.33203125" style="457" customWidth="1"/>
    <col min="6914" max="6914" width="39.44140625" style="457" customWidth="1"/>
    <col min="6915" max="6915" width="35.109375" style="457" customWidth="1"/>
    <col min="6916" max="6916" width="28" style="457" customWidth="1"/>
    <col min="6917" max="6917" width="26.6640625" style="457" customWidth="1"/>
    <col min="6918" max="6918" width="23.6640625" style="457" customWidth="1"/>
    <col min="6919" max="6919" width="30.6640625" style="457" bestFit="1" customWidth="1"/>
    <col min="6920" max="6920" width="24.109375" style="457" customWidth="1"/>
    <col min="6921" max="6921" width="30.44140625" style="457" customWidth="1"/>
    <col min="6922" max="6923" width="29" style="457" customWidth="1"/>
    <col min="6924" max="6924" width="22.6640625" style="457" customWidth="1"/>
    <col min="6925" max="6926" width="11.44140625" style="457"/>
    <col min="6927" max="6927" width="16.44140625" style="457" customWidth="1"/>
    <col min="6928" max="7168" width="11.44140625" style="457"/>
    <col min="7169" max="7169" width="37.33203125" style="457" customWidth="1"/>
    <col min="7170" max="7170" width="39.44140625" style="457" customWidth="1"/>
    <col min="7171" max="7171" width="35.109375" style="457" customWidth="1"/>
    <col min="7172" max="7172" width="28" style="457" customWidth="1"/>
    <col min="7173" max="7173" width="26.6640625" style="457" customWidth="1"/>
    <col min="7174" max="7174" width="23.6640625" style="457" customWidth="1"/>
    <col min="7175" max="7175" width="30.6640625" style="457" bestFit="1" customWidth="1"/>
    <col min="7176" max="7176" width="24.109375" style="457" customWidth="1"/>
    <col min="7177" max="7177" width="30.44140625" style="457" customWidth="1"/>
    <col min="7178" max="7179" width="29" style="457" customWidth="1"/>
    <col min="7180" max="7180" width="22.6640625" style="457" customWidth="1"/>
    <col min="7181" max="7182" width="11.44140625" style="457"/>
    <col min="7183" max="7183" width="16.44140625" style="457" customWidth="1"/>
    <col min="7184" max="7424" width="11.44140625" style="457"/>
    <col min="7425" max="7425" width="37.33203125" style="457" customWidth="1"/>
    <col min="7426" max="7426" width="39.44140625" style="457" customWidth="1"/>
    <col min="7427" max="7427" width="35.109375" style="457" customWidth="1"/>
    <col min="7428" max="7428" width="28" style="457" customWidth="1"/>
    <col min="7429" max="7429" width="26.6640625" style="457" customWidth="1"/>
    <col min="7430" max="7430" width="23.6640625" style="457" customWidth="1"/>
    <col min="7431" max="7431" width="30.6640625" style="457" bestFit="1" customWidth="1"/>
    <col min="7432" max="7432" width="24.109375" style="457" customWidth="1"/>
    <col min="7433" max="7433" width="30.44140625" style="457" customWidth="1"/>
    <col min="7434" max="7435" width="29" style="457" customWidth="1"/>
    <col min="7436" max="7436" width="22.6640625" style="457" customWidth="1"/>
    <col min="7437" max="7438" width="11.44140625" style="457"/>
    <col min="7439" max="7439" width="16.44140625" style="457" customWidth="1"/>
    <col min="7440" max="7680" width="11.44140625" style="457"/>
    <col min="7681" max="7681" width="37.33203125" style="457" customWidth="1"/>
    <col min="7682" max="7682" width="39.44140625" style="457" customWidth="1"/>
    <col min="7683" max="7683" width="35.109375" style="457" customWidth="1"/>
    <col min="7684" max="7684" width="28" style="457" customWidth="1"/>
    <col min="7685" max="7685" width="26.6640625" style="457" customWidth="1"/>
    <col min="7686" max="7686" width="23.6640625" style="457" customWidth="1"/>
    <col min="7687" max="7687" width="30.6640625" style="457" bestFit="1" customWidth="1"/>
    <col min="7688" max="7688" width="24.109375" style="457" customWidth="1"/>
    <col min="7689" max="7689" width="30.44140625" style="457" customWidth="1"/>
    <col min="7690" max="7691" width="29" style="457" customWidth="1"/>
    <col min="7692" max="7692" width="22.6640625" style="457" customWidth="1"/>
    <col min="7693" max="7694" width="11.44140625" style="457"/>
    <col min="7695" max="7695" width="16.44140625" style="457" customWidth="1"/>
    <col min="7696" max="7936" width="11.44140625" style="457"/>
    <col min="7937" max="7937" width="37.33203125" style="457" customWidth="1"/>
    <col min="7938" max="7938" width="39.44140625" style="457" customWidth="1"/>
    <col min="7939" max="7939" width="35.109375" style="457" customWidth="1"/>
    <col min="7940" max="7940" width="28" style="457" customWidth="1"/>
    <col min="7941" max="7941" width="26.6640625" style="457" customWidth="1"/>
    <col min="7942" max="7942" width="23.6640625" style="457" customWidth="1"/>
    <col min="7943" max="7943" width="30.6640625" style="457" bestFit="1" customWidth="1"/>
    <col min="7944" max="7944" width="24.109375" style="457" customWidth="1"/>
    <col min="7945" max="7945" width="30.44140625" style="457" customWidth="1"/>
    <col min="7946" max="7947" width="29" style="457" customWidth="1"/>
    <col min="7948" max="7948" width="22.6640625" style="457" customWidth="1"/>
    <col min="7949" max="7950" width="11.44140625" style="457"/>
    <col min="7951" max="7951" width="16.44140625" style="457" customWidth="1"/>
    <col min="7952" max="8192" width="11.44140625" style="457"/>
    <col min="8193" max="8193" width="37.33203125" style="457" customWidth="1"/>
    <col min="8194" max="8194" width="39.44140625" style="457" customWidth="1"/>
    <col min="8195" max="8195" width="35.109375" style="457" customWidth="1"/>
    <col min="8196" max="8196" width="28" style="457" customWidth="1"/>
    <col min="8197" max="8197" width="26.6640625" style="457" customWidth="1"/>
    <col min="8198" max="8198" width="23.6640625" style="457" customWidth="1"/>
    <col min="8199" max="8199" width="30.6640625" style="457" bestFit="1" customWidth="1"/>
    <col min="8200" max="8200" width="24.109375" style="457" customWidth="1"/>
    <col min="8201" max="8201" width="30.44140625" style="457" customWidth="1"/>
    <col min="8202" max="8203" width="29" style="457" customWidth="1"/>
    <col min="8204" max="8204" width="22.6640625" style="457" customWidth="1"/>
    <col min="8205" max="8206" width="11.44140625" style="457"/>
    <col min="8207" max="8207" width="16.44140625" style="457" customWidth="1"/>
    <col min="8208" max="8448" width="11.44140625" style="457"/>
    <col min="8449" max="8449" width="37.33203125" style="457" customWidth="1"/>
    <col min="8450" max="8450" width="39.44140625" style="457" customWidth="1"/>
    <col min="8451" max="8451" width="35.109375" style="457" customWidth="1"/>
    <col min="8452" max="8452" width="28" style="457" customWidth="1"/>
    <col min="8453" max="8453" width="26.6640625" style="457" customWidth="1"/>
    <col min="8454" max="8454" width="23.6640625" style="457" customWidth="1"/>
    <col min="8455" max="8455" width="30.6640625" style="457" bestFit="1" customWidth="1"/>
    <col min="8456" max="8456" width="24.109375" style="457" customWidth="1"/>
    <col min="8457" max="8457" width="30.44140625" style="457" customWidth="1"/>
    <col min="8458" max="8459" width="29" style="457" customWidth="1"/>
    <col min="8460" max="8460" width="22.6640625" style="457" customWidth="1"/>
    <col min="8461" max="8462" width="11.44140625" style="457"/>
    <col min="8463" max="8463" width="16.44140625" style="457" customWidth="1"/>
    <col min="8464" max="8704" width="11.44140625" style="457"/>
    <col min="8705" max="8705" width="37.33203125" style="457" customWidth="1"/>
    <col min="8706" max="8706" width="39.44140625" style="457" customWidth="1"/>
    <col min="8707" max="8707" width="35.109375" style="457" customWidth="1"/>
    <col min="8708" max="8708" width="28" style="457" customWidth="1"/>
    <col min="8709" max="8709" width="26.6640625" style="457" customWidth="1"/>
    <col min="8710" max="8710" width="23.6640625" style="457" customWidth="1"/>
    <col min="8711" max="8711" width="30.6640625" style="457" bestFit="1" customWidth="1"/>
    <col min="8712" max="8712" width="24.109375" style="457" customWidth="1"/>
    <col min="8713" max="8713" width="30.44140625" style="457" customWidth="1"/>
    <col min="8714" max="8715" width="29" style="457" customWidth="1"/>
    <col min="8716" max="8716" width="22.6640625" style="457" customWidth="1"/>
    <col min="8717" max="8718" width="11.44140625" style="457"/>
    <col min="8719" max="8719" width="16.44140625" style="457" customWidth="1"/>
    <col min="8720" max="8960" width="11.44140625" style="457"/>
    <col min="8961" max="8961" width="37.33203125" style="457" customWidth="1"/>
    <col min="8962" max="8962" width="39.44140625" style="457" customWidth="1"/>
    <col min="8963" max="8963" width="35.109375" style="457" customWidth="1"/>
    <col min="8964" max="8964" width="28" style="457" customWidth="1"/>
    <col min="8965" max="8965" width="26.6640625" style="457" customWidth="1"/>
    <col min="8966" max="8966" width="23.6640625" style="457" customWidth="1"/>
    <col min="8967" max="8967" width="30.6640625" style="457" bestFit="1" customWidth="1"/>
    <col min="8968" max="8968" width="24.109375" style="457" customWidth="1"/>
    <col min="8969" max="8969" width="30.44140625" style="457" customWidth="1"/>
    <col min="8970" max="8971" width="29" style="457" customWidth="1"/>
    <col min="8972" max="8972" width="22.6640625" style="457" customWidth="1"/>
    <col min="8973" max="8974" width="11.44140625" style="457"/>
    <col min="8975" max="8975" width="16.44140625" style="457" customWidth="1"/>
    <col min="8976" max="9216" width="11.44140625" style="457"/>
    <col min="9217" max="9217" width="37.33203125" style="457" customWidth="1"/>
    <col min="9218" max="9218" width="39.44140625" style="457" customWidth="1"/>
    <col min="9219" max="9219" width="35.109375" style="457" customWidth="1"/>
    <col min="9220" max="9220" width="28" style="457" customWidth="1"/>
    <col min="9221" max="9221" width="26.6640625" style="457" customWidth="1"/>
    <col min="9222" max="9222" width="23.6640625" style="457" customWidth="1"/>
    <col min="9223" max="9223" width="30.6640625" style="457" bestFit="1" customWidth="1"/>
    <col min="9224" max="9224" width="24.109375" style="457" customWidth="1"/>
    <col min="9225" max="9225" width="30.44140625" style="457" customWidth="1"/>
    <col min="9226" max="9227" width="29" style="457" customWidth="1"/>
    <col min="9228" max="9228" width="22.6640625" style="457" customWidth="1"/>
    <col min="9229" max="9230" width="11.44140625" style="457"/>
    <col min="9231" max="9231" width="16.44140625" style="457" customWidth="1"/>
    <col min="9232" max="9472" width="11.44140625" style="457"/>
    <col min="9473" max="9473" width="37.33203125" style="457" customWidth="1"/>
    <col min="9474" max="9474" width="39.44140625" style="457" customWidth="1"/>
    <col min="9475" max="9475" width="35.109375" style="457" customWidth="1"/>
    <col min="9476" max="9476" width="28" style="457" customWidth="1"/>
    <col min="9477" max="9477" width="26.6640625" style="457" customWidth="1"/>
    <col min="9478" max="9478" width="23.6640625" style="457" customWidth="1"/>
    <col min="9479" max="9479" width="30.6640625" style="457" bestFit="1" customWidth="1"/>
    <col min="9480" max="9480" width="24.109375" style="457" customWidth="1"/>
    <col min="9481" max="9481" width="30.44140625" style="457" customWidth="1"/>
    <col min="9482" max="9483" width="29" style="457" customWidth="1"/>
    <col min="9484" max="9484" width="22.6640625" style="457" customWidth="1"/>
    <col min="9485" max="9486" width="11.44140625" style="457"/>
    <col min="9487" max="9487" width="16.44140625" style="457" customWidth="1"/>
    <col min="9488" max="9728" width="11.44140625" style="457"/>
    <col min="9729" max="9729" width="37.33203125" style="457" customWidth="1"/>
    <col min="9730" max="9730" width="39.44140625" style="457" customWidth="1"/>
    <col min="9731" max="9731" width="35.109375" style="457" customWidth="1"/>
    <col min="9732" max="9732" width="28" style="457" customWidth="1"/>
    <col min="9733" max="9733" width="26.6640625" style="457" customWidth="1"/>
    <col min="9734" max="9734" width="23.6640625" style="457" customWidth="1"/>
    <col min="9735" max="9735" width="30.6640625" style="457" bestFit="1" customWidth="1"/>
    <col min="9736" max="9736" width="24.109375" style="457" customWidth="1"/>
    <col min="9737" max="9737" width="30.44140625" style="457" customWidth="1"/>
    <col min="9738" max="9739" width="29" style="457" customWidth="1"/>
    <col min="9740" max="9740" width="22.6640625" style="457" customWidth="1"/>
    <col min="9741" max="9742" width="11.44140625" style="457"/>
    <col min="9743" max="9743" width="16.44140625" style="457" customWidth="1"/>
    <col min="9744" max="9984" width="11.44140625" style="457"/>
    <col min="9985" max="9985" width="37.33203125" style="457" customWidth="1"/>
    <col min="9986" max="9986" width="39.44140625" style="457" customWidth="1"/>
    <col min="9987" max="9987" width="35.109375" style="457" customWidth="1"/>
    <col min="9988" max="9988" width="28" style="457" customWidth="1"/>
    <col min="9989" max="9989" width="26.6640625" style="457" customWidth="1"/>
    <col min="9990" max="9990" width="23.6640625" style="457" customWidth="1"/>
    <col min="9991" max="9991" width="30.6640625" style="457" bestFit="1" customWidth="1"/>
    <col min="9992" max="9992" width="24.109375" style="457" customWidth="1"/>
    <col min="9993" max="9993" width="30.44140625" style="457" customWidth="1"/>
    <col min="9994" max="9995" width="29" style="457" customWidth="1"/>
    <col min="9996" max="9996" width="22.6640625" style="457" customWidth="1"/>
    <col min="9997" max="9998" width="11.44140625" style="457"/>
    <col min="9999" max="9999" width="16.44140625" style="457" customWidth="1"/>
    <col min="10000" max="10240" width="11.44140625" style="457"/>
    <col min="10241" max="10241" width="37.33203125" style="457" customWidth="1"/>
    <col min="10242" max="10242" width="39.44140625" style="457" customWidth="1"/>
    <col min="10243" max="10243" width="35.109375" style="457" customWidth="1"/>
    <col min="10244" max="10244" width="28" style="457" customWidth="1"/>
    <col min="10245" max="10245" width="26.6640625" style="457" customWidth="1"/>
    <col min="10246" max="10246" width="23.6640625" style="457" customWidth="1"/>
    <col min="10247" max="10247" width="30.6640625" style="457" bestFit="1" customWidth="1"/>
    <col min="10248" max="10248" width="24.109375" style="457" customWidth="1"/>
    <col min="10249" max="10249" width="30.44140625" style="457" customWidth="1"/>
    <col min="10250" max="10251" width="29" style="457" customWidth="1"/>
    <col min="10252" max="10252" width="22.6640625" style="457" customWidth="1"/>
    <col min="10253" max="10254" width="11.44140625" style="457"/>
    <col min="10255" max="10255" width="16.44140625" style="457" customWidth="1"/>
    <col min="10256" max="10496" width="11.44140625" style="457"/>
    <col min="10497" max="10497" width="37.33203125" style="457" customWidth="1"/>
    <col min="10498" max="10498" width="39.44140625" style="457" customWidth="1"/>
    <col min="10499" max="10499" width="35.109375" style="457" customWidth="1"/>
    <col min="10500" max="10500" width="28" style="457" customWidth="1"/>
    <col min="10501" max="10501" width="26.6640625" style="457" customWidth="1"/>
    <col min="10502" max="10502" width="23.6640625" style="457" customWidth="1"/>
    <col min="10503" max="10503" width="30.6640625" style="457" bestFit="1" customWidth="1"/>
    <col min="10504" max="10504" width="24.109375" style="457" customWidth="1"/>
    <col min="10505" max="10505" width="30.44140625" style="457" customWidth="1"/>
    <col min="10506" max="10507" width="29" style="457" customWidth="1"/>
    <col min="10508" max="10508" width="22.6640625" style="457" customWidth="1"/>
    <col min="10509" max="10510" width="11.44140625" style="457"/>
    <col min="10511" max="10511" width="16.44140625" style="457" customWidth="1"/>
    <col min="10512" max="10752" width="11.44140625" style="457"/>
    <col min="10753" max="10753" width="37.33203125" style="457" customWidth="1"/>
    <col min="10754" max="10754" width="39.44140625" style="457" customWidth="1"/>
    <col min="10755" max="10755" width="35.109375" style="457" customWidth="1"/>
    <col min="10756" max="10756" width="28" style="457" customWidth="1"/>
    <col min="10757" max="10757" width="26.6640625" style="457" customWidth="1"/>
    <col min="10758" max="10758" width="23.6640625" style="457" customWidth="1"/>
    <col min="10759" max="10759" width="30.6640625" style="457" bestFit="1" customWidth="1"/>
    <col min="10760" max="10760" width="24.109375" style="457" customWidth="1"/>
    <col min="10761" max="10761" width="30.44140625" style="457" customWidth="1"/>
    <col min="10762" max="10763" width="29" style="457" customWidth="1"/>
    <col min="10764" max="10764" width="22.6640625" style="457" customWidth="1"/>
    <col min="10765" max="10766" width="11.44140625" style="457"/>
    <col min="10767" max="10767" width="16.44140625" style="457" customWidth="1"/>
    <col min="10768" max="11008" width="11.44140625" style="457"/>
    <col min="11009" max="11009" width="37.33203125" style="457" customWidth="1"/>
    <col min="11010" max="11010" width="39.44140625" style="457" customWidth="1"/>
    <col min="11011" max="11011" width="35.109375" style="457" customWidth="1"/>
    <col min="11012" max="11012" width="28" style="457" customWidth="1"/>
    <col min="11013" max="11013" width="26.6640625" style="457" customWidth="1"/>
    <col min="11014" max="11014" width="23.6640625" style="457" customWidth="1"/>
    <col min="11015" max="11015" width="30.6640625" style="457" bestFit="1" customWidth="1"/>
    <col min="11016" max="11016" width="24.109375" style="457" customWidth="1"/>
    <col min="11017" max="11017" width="30.44140625" style="457" customWidth="1"/>
    <col min="11018" max="11019" width="29" style="457" customWidth="1"/>
    <col min="11020" max="11020" width="22.6640625" style="457" customWidth="1"/>
    <col min="11021" max="11022" width="11.44140625" style="457"/>
    <col min="11023" max="11023" width="16.44140625" style="457" customWidth="1"/>
    <col min="11024" max="11264" width="11.44140625" style="457"/>
    <col min="11265" max="11265" width="37.33203125" style="457" customWidth="1"/>
    <col min="11266" max="11266" width="39.44140625" style="457" customWidth="1"/>
    <col min="11267" max="11267" width="35.109375" style="457" customWidth="1"/>
    <col min="11268" max="11268" width="28" style="457" customWidth="1"/>
    <col min="11269" max="11269" width="26.6640625" style="457" customWidth="1"/>
    <col min="11270" max="11270" width="23.6640625" style="457" customWidth="1"/>
    <col min="11271" max="11271" width="30.6640625" style="457" bestFit="1" customWidth="1"/>
    <col min="11272" max="11272" width="24.109375" style="457" customWidth="1"/>
    <col min="11273" max="11273" width="30.44140625" style="457" customWidth="1"/>
    <col min="11274" max="11275" width="29" style="457" customWidth="1"/>
    <col min="11276" max="11276" width="22.6640625" style="457" customWidth="1"/>
    <col min="11277" max="11278" width="11.44140625" style="457"/>
    <col min="11279" max="11279" width="16.44140625" style="457" customWidth="1"/>
    <col min="11280" max="11520" width="11.44140625" style="457"/>
    <col min="11521" max="11521" width="37.33203125" style="457" customWidth="1"/>
    <col min="11522" max="11522" width="39.44140625" style="457" customWidth="1"/>
    <col min="11523" max="11523" width="35.109375" style="457" customWidth="1"/>
    <col min="11524" max="11524" width="28" style="457" customWidth="1"/>
    <col min="11525" max="11525" width="26.6640625" style="457" customWidth="1"/>
    <col min="11526" max="11526" width="23.6640625" style="457" customWidth="1"/>
    <col min="11527" max="11527" width="30.6640625" style="457" bestFit="1" customWidth="1"/>
    <col min="11528" max="11528" width="24.109375" style="457" customWidth="1"/>
    <col min="11529" max="11529" width="30.44140625" style="457" customWidth="1"/>
    <col min="11530" max="11531" width="29" style="457" customWidth="1"/>
    <col min="11532" max="11532" width="22.6640625" style="457" customWidth="1"/>
    <col min="11533" max="11534" width="11.44140625" style="457"/>
    <col min="11535" max="11535" width="16.44140625" style="457" customWidth="1"/>
    <col min="11536" max="11776" width="11.44140625" style="457"/>
    <col min="11777" max="11777" width="37.33203125" style="457" customWidth="1"/>
    <col min="11778" max="11778" width="39.44140625" style="457" customWidth="1"/>
    <col min="11779" max="11779" width="35.109375" style="457" customWidth="1"/>
    <col min="11780" max="11780" width="28" style="457" customWidth="1"/>
    <col min="11781" max="11781" width="26.6640625" style="457" customWidth="1"/>
    <col min="11782" max="11782" width="23.6640625" style="457" customWidth="1"/>
    <col min="11783" max="11783" width="30.6640625" style="457" bestFit="1" customWidth="1"/>
    <col min="11784" max="11784" width="24.109375" style="457" customWidth="1"/>
    <col min="11785" max="11785" width="30.44140625" style="457" customWidth="1"/>
    <col min="11786" max="11787" width="29" style="457" customWidth="1"/>
    <col min="11788" max="11788" width="22.6640625" style="457" customWidth="1"/>
    <col min="11789" max="11790" width="11.44140625" style="457"/>
    <col min="11791" max="11791" width="16.44140625" style="457" customWidth="1"/>
    <col min="11792" max="12032" width="11.44140625" style="457"/>
    <col min="12033" max="12033" width="37.33203125" style="457" customWidth="1"/>
    <col min="12034" max="12034" width="39.44140625" style="457" customWidth="1"/>
    <col min="12035" max="12035" width="35.109375" style="457" customWidth="1"/>
    <col min="12036" max="12036" width="28" style="457" customWidth="1"/>
    <col min="12037" max="12037" width="26.6640625" style="457" customWidth="1"/>
    <col min="12038" max="12038" width="23.6640625" style="457" customWidth="1"/>
    <col min="12039" max="12039" width="30.6640625" style="457" bestFit="1" customWidth="1"/>
    <col min="12040" max="12040" width="24.109375" style="457" customWidth="1"/>
    <col min="12041" max="12041" width="30.44140625" style="457" customWidth="1"/>
    <col min="12042" max="12043" width="29" style="457" customWidth="1"/>
    <col min="12044" max="12044" width="22.6640625" style="457" customWidth="1"/>
    <col min="12045" max="12046" width="11.44140625" style="457"/>
    <col min="12047" max="12047" width="16.44140625" style="457" customWidth="1"/>
    <col min="12048" max="12288" width="11.44140625" style="457"/>
    <col min="12289" max="12289" width="37.33203125" style="457" customWidth="1"/>
    <col min="12290" max="12290" width="39.44140625" style="457" customWidth="1"/>
    <col min="12291" max="12291" width="35.109375" style="457" customWidth="1"/>
    <col min="12292" max="12292" width="28" style="457" customWidth="1"/>
    <col min="12293" max="12293" width="26.6640625" style="457" customWidth="1"/>
    <col min="12294" max="12294" width="23.6640625" style="457" customWidth="1"/>
    <col min="12295" max="12295" width="30.6640625" style="457" bestFit="1" customWidth="1"/>
    <col min="12296" max="12296" width="24.109375" style="457" customWidth="1"/>
    <col min="12297" max="12297" width="30.44140625" style="457" customWidth="1"/>
    <col min="12298" max="12299" width="29" style="457" customWidth="1"/>
    <col min="12300" max="12300" width="22.6640625" style="457" customWidth="1"/>
    <col min="12301" max="12302" width="11.44140625" style="457"/>
    <col min="12303" max="12303" width="16.44140625" style="457" customWidth="1"/>
    <col min="12304" max="12544" width="11.44140625" style="457"/>
    <col min="12545" max="12545" width="37.33203125" style="457" customWidth="1"/>
    <col min="12546" max="12546" width="39.44140625" style="457" customWidth="1"/>
    <col min="12547" max="12547" width="35.109375" style="457" customWidth="1"/>
    <col min="12548" max="12548" width="28" style="457" customWidth="1"/>
    <col min="12549" max="12549" width="26.6640625" style="457" customWidth="1"/>
    <col min="12550" max="12550" width="23.6640625" style="457" customWidth="1"/>
    <col min="12551" max="12551" width="30.6640625" style="457" bestFit="1" customWidth="1"/>
    <col min="12552" max="12552" width="24.109375" style="457" customWidth="1"/>
    <col min="12553" max="12553" width="30.44140625" style="457" customWidth="1"/>
    <col min="12554" max="12555" width="29" style="457" customWidth="1"/>
    <col min="12556" max="12556" width="22.6640625" style="457" customWidth="1"/>
    <col min="12557" max="12558" width="11.44140625" style="457"/>
    <col min="12559" max="12559" width="16.44140625" style="457" customWidth="1"/>
    <col min="12560" max="12800" width="11.44140625" style="457"/>
    <col min="12801" max="12801" width="37.33203125" style="457" customWidth="1"/>
    <col min="12802" max="12802" width="39.44140625" style="457" customWidth="1"/>
    <col min="12803" max="12803" width="35.109375" style="457" customWidth="1"/>
    <col min="12804" max="12804" width="28" style="457" customWidth="1"/>
    <col min="12805" max="12805" width="26.6640625" style="457" customWidth="1"/>
    <col min="12806" max="12806" width="23.6640625" style="457" customWidth="1"/>
    <col min="12807" max="12807" width="30.6640625" style="457" bestFit="1" customWidth="1"/>
    <col min="12808" max="12808" width="24.109375" style="457" customWidth="1"/>
    <col min="12809" max="12809" width="30.44140625" style="457" customWidth="1"/>
    <col min="12810" max="12811" width="29" style="457" customWidth="1"/>
    <col min="12812" max="12812" width="22.6640625" style="457" customWidth="1"/>
    <col min="12813" max="12814" width="11.44140625" style="457"/>
    <col min="12815" max="12815" width="16.44140625" style="457" customWidth="1"/>
    <col min="12816" max="13056" width="11.44140625" style="457"/>
    <col min="13057" max="13057" width="37.33203125" style="457" customWidth="1"/>
    <col min="13058" max="13058" width="39.44140625" style="457" customWidth="1"/>
    <col min="13059" max="13059" width="35.109375" style="457" customWidth="1"/>
    <col min="13060" max="13060" width="28" style="457" customWidth="1"/>
    <col min="13061" max="13061" width="26.6640625" style="457" customWidth="1"/>
    <col min="13062" max="13062" width="23.6640625" style="457" customWidth="1"/>
    <col min="13063" max="13063" width="30.6640625" style="457" bestFit="1" customWidth="1"/>
    <col min="13064" max="13064" width="24.109375" style="457" customWidth="1"/>
    <col min="13065" max="13065" width="30.44140625" style="457" customWidth="1"/>
    <col min="13066" max="13067" width="29" style="457" customWidth="1"/>
    <col min="13068" max="13068" width="22.6640625" style="457" customWidth="1"/>
    <col min="13069" max="13070" width="11.44140625" style="457"/>
    <col min="13071" max="13071" width="16.44140625" style="457" customWidth="1"/>
    <col min="13072" max="13312" width="11.44140625" style="457"/>
    <col min="13313" max="13313" width="37.33203125" style="457" customWidth="1"/>
    <col min="13314" max="13314" width="39.44140625" style="457" customWidth="1"/>
    <col min="13315" max="13315" width="35.109375" style="457" customWidth="1"/>
    <col min="13316" max="13316" width="28" style="457" customWidth="1"/>
    <col min="13317" max="13317" width="26.6640625" style="457" customWidth="1"/>
    <col min="13318" max="13318" width="23.6640625" style="457" customWidth="1"/>
    <col min="13319" max="13319" width="30.6640625" style="457" bestFit="1" customWidth="1"/>
    <col min="13320" max="13320" width="24.109375" style="457" customWidth="1"/>
    <col min="13321" max="13321" width="30.44140625" style="457" customWidth="1"/>
    <col min="13322" max="13323" width="29" style="457" customWidth="1"/>
    <col min="13324" max="13324" width="22.6640625" style="457" customWidth="1"/>
    <col min="13325" max="13326" width="11.44140625" style="457"/>
    <col min="13327" max="13327" width="16.44140625" style="457" customWidth="1"/>
    <col min="13328" max="13568" width="11.44140625" style="457"/>
    <col min="13569" max="13569" width="37.33203125" style="457" customWidth="1"/>
    <col min="13570" max="13570" width="39.44140625" style="457" customWidth="1"/>
    <col min="13571" max="13571" width="35.109375" style="457" customWidth="1"/>
    <col min="13572" max="13572" width="28" style="457" customWidth="1"/>
    <col min="13573" max="13573" width="26.6640625" style="457" customWidth="1"/>
    <col min="13574" max="13574" width="23.6640625" style="457" customWidth="1"/>
    <col min="13575" max="13575" width="30.6640625" style="457" bestFit="1" customWidth="1"/>
    <col min="13576" max="13576" width="24.109375" style="457" customWidth="1"/>
    <col min="13577" max="13577" width="30.44140625" style="457" customWidth="1"/>
    <col min="13578" max="13579" width="29" style="457" customWidth="1"/>
    <col min="13580" max="13580" width="22.6640625" style="457" customWidth="1"/>
    <col min="13581" max="13582" width="11.44140625" style="457"/>
    <col min="13583" max="13583" width="16.44140625" style="457" customWidth="1"/>
    <col min="13584" max="13824" width="11.44140625" style="457"/>
    <col min="13825" max="13825" width="37.33203125" style="457" customWidth="1"/>
    <col min="13826" max="13826" width="39.44140625" style="457" customWidth="1"/>
    <col min="13827" max="13827" width="35.109375" style="457" customWidth="1"/>
    <col min="13828" max="13828" width="28" style="457" customWidth="1"/>
    <col min="13829" max="13829" width="26.6640625" style="457" customWidth="1"/>
    <col min="13830" max="13830" width="23.6640625" style="457" customWidth="1"/>
    <col min="13831" max="13831" width="30.6640625" style="457" bestFit="1" customWidth="1"/>
    <col min="13832" max="13832" width="24.109375" style="457" customWidth="1"/>
    <col min="13833" max="13833" width="30.44140625" style="457" customWidth="1"/>
    <col min="13834" max="13835" width="29" style="457" customWidth="1"/>
    <col min="13836" max="13836" width="22.6640625" style="457" customWidth="1"/>
    <col min="13837" max="13838" width="11.44140625" style="457"/>
    <col min="13839" max="13839" width="16.44140625" style="457" customWidth="1"/>
    <col min="13840" max="14080" width="11.44140625" style="457"/>
    <col min="14081" max="14081" width="37.33203125" style="457" customWidth="1"/>
    <col min="14082" max="14082" width="39.44140625" style="457" customWidth="1"/>
    <col min="14083" max="14083" width="35.109375" style="457" customWidth="1"/>
    <col min="14084" max="14084" width="28" style="457" customWidth="1"/>
    <col min="14085" max="14085" width="26.6640625" style="457" customWidth="1"/>
    <col min="14086" max="14086" width="23.6640625" style="457" customWidth="1"/>
    <col min="14087" max="14087" width="30.6640625" style="457" bestFit="1" customWidth="1"/>
    <col min="14088" max="14088" width="24.109375" style="457" customWidth="1"/>
    <col min="14089" max="14089" width="30.44140625" style="457" customWidth="1"/>
    <col min="14090" max="14091" width="29" style="457" customWidth="1"/>
    <col min="14092" max="14092" width="22.6640625" style="457" customWidth="1"/>
    <col min="14093" max="14094" width="11.44140625" style="457"/>
    <col min="14095" max="14095" width="16.44140625" style="457" customWidth="1"/>
    <col min="14096" max="14336" width="11.44140625" style="457"/>
    <col min="14337" max="14337" width="37.33203125" style="457" customWidth="1"/>
    <col min="14338" max="14338" width="39.44140625" style="457" customWidth="1"/>
    <col min="14339" max="14339" width="35.109375" style="457" customWidth="1"/>
    <col min="14340" max="14340" width="28" style="457" customWidth="1"/>
    <col min="14341" max="14341" width="26.6640625" style="457" customWidth="1"/>
    <col min="14342" max="14342" width="23.6640625" style="457" customWidth="1"/>
    <col min="14343" max="14343" width="30.6640625" style="457" bestFit="1" customWidth="1"/>
    <col min="14344" max="14344" width="24.109375" style="457" customWidth="1"/>
    <col min="14345" max="14345" width="30.44140625" style="457" customWidth="1"/>
    <col min="14346" max="14347" width="29" style="457" customWidth="1"/>
    <col min="14348" max="14348" width="22.6640625" style="457" customWidth="1"/>
    <col min="14349" max="14350" width="11.44140625" style="457"/>
    <col min="14351" max="14351" width="16.44140625" style="457" customWidth="1"/>
    <col min="14352" max="14592" width="11.44140625" style="457"/>
    <col min="14593" max="14593" width="37.33203125" style="457" customWidth="1"/>
    <col min="14594" max="14594" width="39.44140625" style="457" customWidth="1"/>
    <col min="14595" max="14595" width="35.109375" style="457" customWidth="1"/>
    <col min="14596" max="14596" width="28" style="457" customWidth="1"/>
    <col min="14597" max="14597" width="26.6640625" style="457" customWidth="1"/>
    <col min="14598" max="14598" width="23.6640625" style="457" customWidth="1"/>
    <col min="14599" max="14599" width="30.6640625" style="457" bestFit="1" customWidth="1"/>
    <col min="14600" max="14600" width="24.109375" style="457" customWidth="1"/>
    <col min="14601" max="14601" width="30.44140625" style="457" customWidth="1"/>
    <col min="14602" max="14603" width="29" style="457" customWidth="1"/>
    <col min="14604" max="14604" width="22.6640625" style="457" customWidth="1"/>
    <col min="14605" max="14606" width="11.44140625" style="457"/>
    <col min="14607" max="14607" width="16.44140625" style="457" customWidth="1"/>
    <col min="14608" max="14848" width="11.44140625" style="457"/>
    <col min="14849" max="14849" width="37.33203125" style="457" customWidth="1"/>
    <col min="14850" max="14850" width="39.44140625" style="457" customWidth="1"/>
    <col min="14851" max="14851" width="35.109375" style="457" customWidth="1"/>
    <col min="14852" max="14852" width="28" style="457" customWidth="1"/>
    <col min="14853" max="14853" width="26.6640625" style="457" customWidth="1"/>
    <col min="14854" max="14854" width="23.6640625" style="457" customWidth="1"/>
    <col min="14855" max="14855" width="30.6640625" style="457" bestFit="1" customWidth="1"/>
    <col min="14856" max="14856" width="24.109375" style="457" customWidth="1"/>
    <col min="14857" max="14857" width="30.44140625" style="457" customWidth="1"/>
    <col min="14858" max="14859" width="29" style="457" customWidth="1"/>
    <col min="14860" max="14860" width="22.6640625" style="457" customWidth="1"/>
    <col min="14861" max="14862" width="11.44140625" style="457"/>
    <col min="14863" max="14863" width="16.44140625" style="457" customWidth="1"/>
    <col min="14864" max="15104" width="11.44140625" style="457"/>
    <col min="15105" max="15105" width="37.33203125" style="457" customWidth="1"/>
    <col min="15106" max="15106" width="39.44140625" style="457" customWidth="1"/>
    <col min="15107" max="15107" width="35.109375" style="457" customWidth="1"/>
    <col min="15108" max="15108" width="28" style="457" customWidth="1"/>
    <col min="15109" max="15109" width="26.6640625" style="457" customWidth="1"/>
    <col min="15110" max="15110" width="23.6640625" style="457" customWidth="1"/>
    <col min="15111" max="15111" width="30.6640625" style="457" bestFit="1" customWidth="1"/>
    <col min="15112" max="15112" width="24.109375" style="457" customWidth="1"/>
    <col min="15113" max="15113" width="30.44140625" style="457" customWidth="1"/>
    <col min="15114" max="15115" width="29" style="457" customWidth="1"/>
    <col min="15116" max="15116" width="22.6640625" style="457" customWidth="1"/>
    <col min="15117" max="15118" width="11.44140625" style="457"/>
    <col min="15119" max="15119" width="16.44140625" style="457" customWidth="1"/>
    <col min="15120" max="15360" width="11.44140625" style="457"/>
    <col min="15361" max="15361" width="37.33203125" style="457" customWidth="1"/>
    <col min="15362" max="15362" width="39.44140625" style="457" customWidth="1"/>
    <col min="15363" max="15363" width="35.109375" style="457" customWidth="1"/>
    <col min="15364" max="15364" width="28" style="457" customWidth="1"/>
    <col min="15365" max="15365" width="26.6640625" style="457" customWidth="1"/>
    <col min="15366" max="15366" width="23.6640625" style="457" customWidth="1"/>
    <col min="15367" max="15367" width="30.6640625" style="457" bestFit="1" customWidth="1"/>
    <col min="15368" max="15368" width="24.109375" style="457" customWidth="1"/>
    <col min="15369" max="15369" width="30.44140625" style="457" customWidth="1"/>
    <col min="15370" max="15371" width="29" style="457" customWidth="1"/>
    <col min="15372" max="15372" width="22.6640625" style="457" customWidth="1"/>
    <col min="15373" max="15374" width="11.44140625" style="457"/>
    <col min="15375" max="15375" width="16.44140625" style="457" customWidth="1"/>
    <col min="15376" max="15616" width="11.44140625" style="457"/>
    <col min="15617" max="15617" width="37.33203125" style="457" customWidth="1"/>
    <col min="15618" max="15618" width="39.44140625" style="457" customWidth="1"/>
    <col min="15619" max="15619" width="35.109375" style="457" customWidth="1"/>
    <col min="15620" max="15620" width="28" style="457" customWidth="1"/>
    <col min="15621" max="15621" width="26.6640625" style="457" customWidth="1"/>
    <col min="15622" max="15622" width="23.6640625" style="457" customWidth="1"/>
    <col min="15623" max="15623" width="30.6640625" style="457" bestFit="1" customWidth="1"/>
    <col min="15624" max="15624" width="24.109375" style="457" customWidth="1"/>
    <col min="15625" max="15625" width="30.44140625" style="457" customWidth="1"/>
    <col min="15626" max="15627" width="29" style="457" customWidth="1"/>
    <col min="15628" max="15628" width="22.6640625" style="457" customWidth="1"/>
    <col min="15629" max="15630" width="11.44140625" style="457"/>
    <col min="15631" max="15631" width="16.44140625" style="457" customWidth="1"/>
    <col min="15632" max="15872" width="11.44140625" style="457"/>
    <col min="15873" max="15873" width="37.33203125" style="457" customWidth="1"/>
    <col min="15874" max="15874" width="39.44140625" style="457" customWidth="1"/>
    <col min="15875" max="15875" width="35.109375" style="457" customWidth="1"/>
    <col min="15876" max="15876" width="28" style="457" customWidth="1"/>
    <col min="15877" max="15877" width="26.6640625" style="457" customWidth="1"/>
    <col min="15878" max="15878" width="23.6640625" style="457" customWidth="1"/>
    <col min="15879" max="15879" width="30.6640625" style="457" bestFit="1" customWidth="1"/>
    <col min="15880" max="15880" width="24.109375" style="457" customWidth="1"/>
    <col min="15881" max="15881" width="30.44140625" style="457" customWidth="1"/>
    <col min="15882" max="15883" width="29" style="457" customWidth="1"/>
    <col min="15884" max="15884" width="22.6640625" style="457" customWidth="1"/>
    <col min="15885" max="15886" width="11.44140625" style="457"/>
    <col min="15887" max="15887" width="16.44140625" style="457" customWidth="1"/>
    <col min="15888" max="16128" width="11.44140625" style="457"/>
    <col min="16129" max="16129" width="37.33203125" style="457" customWidth="1"/>
    <col min="16130" max="16130" width="39.44140625" style="457" customWidth="1"/>
    <col min="16131" max="16131" width="35.109375" style="457" customWidth="1"/>
    <col min="16132" max="16132" width="28" style="457" customWidth="1"/>
    <col min="16133" max="16133" width="26.6640625" style="457" customWidth="1"/>
    <col min="16134" max="16134" width="23.6640625" style="457" customWidth="1"/>
    <col min="16135" max="16135" width="30.6640625" style="457" bestFit="1" customWidth="1"/>
    <col min="16136" max="16136" width="24.109375" style="457" customWidth="1"/>
    <col min="16137" max="16137" width="30.44140625" style="457" customWidth="1"/>
    <col min="16138" max="16139" width="29" style="457" customWidth="1"/>
    <col min="16140" max="16140" width="22.6640625" style="457" customWidth="1"/>
    <col min="16141" max="16142" width="11.44140625" style="457"/>
    <col min="16143" max="16143" width="16.44140625" style="457" customWidth="1"/>
    <col min="16144" max="16384" width="11.44140625" style="457"/>
  </cols>
  <sheetData>
    <row r="1" spans="1:12" ht="47.25" customHeight="1" x14ac:dyDescent="0.3">
      <c r="A1" s="1944"/>
      <c r="B1" s="1901" t="s">
        <v>1692</v>
      </c>
      <c r="C1" s="1901"/>
      <c r="D1" s="1901"/>
      <c r="E1" s="1901"/>
      <c r="F1" s="1901"/>
      <c r="G1" s="1901"/>
      <c r="H1" s="1901"/>
      <c r="I1" s="1901"/>
      <c r="J1" s="1901"/>
      <c r="K1" s="1901"/>
      <c r="L1" s="1132" t="s">
        <v>1688</v>
      </c>
    </row>
    <row r="2" spans="1:12" ht="44.25" customHeight="1" x14ac:dyDescent="0.3">
      <c r="A2" s="1944"/>
      <c r="B2" s="1901"/>
      <c r="C2" s="1901"/>
      <c r="D2" s="1901"/>
      <c r="E2" s="1901"/>
      <c r="F2" s="1901"/>
      <c r="G2" s="1901"/>
      <c r="H2" s="1901"/>
      <c r="I2" s="1901"/>
      <c r="J2" s="1901"/>
      <c r="K2" s="1901"/>
      <c r="L2" s="1133" t="s">
        <v>1689</v>
      </c>
    </row>
    <row r="3" spans="1:12" x14ac:dyDescent="0.3">
      <c r="I3" s="457"/>
    </row>
    <row r="4" spans="1:12" s="1342" customFormat="1" x14ac:dyDescent="0.25">
      <c r="A4" s="458" t="s">
        <v>118</v>
      </c>
      <c r="B4" s="1945" t="str">
        <f>+FENECIMIENTO!D4</f>
        <v xml:space="preserve">80000 - DIRECCIÓN SECTOR MOVILIDAD </v>
      </c>
      <c r="C4" s="1945"/>
      <c r="D4" s="1945"/>
      <c r="E4" s="1945"/>
      <c r="H4" s="1343"/>
    </row>
    <row r="5" spans="1:12" s="1342" customFormat="1" x14ac:dyDescent="0.3">
      <c r="A5" s="458" t="s">
        <v>1</v>
      </c>
      <c r="B5" s="1942" t="str">
        <f>+FENECIMIENTO!D5</f>
        <v>204 - Instituto de Desarrollo Urbano – IDU</v>
      </c>
      <c r="C5" s="1943"/>
      <c r="D5" s="1256" t="s">
        <v>2</v>
      </c>
      <c r="E5" s="1344">
        <f>+FENECIMIENTO!K5</f>
        <v>2024</v>
      </c>
      <c r="H5" s="1343"/>
    </row>
    <row r="6" spans="1:12" s="1342" customFormat="1" x14ac:dyDescent="0.3">
      <c r="A6" s="458" t="s">
        <v>1680</v>
      </c>
      <c r="B6" s="1942">
        <f>+FENECIMIENTO!D6</f>
        <v>2025</v>
      </c>
      <c r="C6" s="1943"/>
      <c r="D6" s="1256" t="s">
        <v>691</v>
      </c>
      <c r="E6" s="1344">
        <f>+FENECIMIENTO!K6</f>
        <v>87</v>
      </c>
      <c r="H6" s="1343"/>
      <c r="I6" s="1343"/>
    </row>
    <row r="7" spans="1:12" x14ac:dyDescent="0.25">
      <c r="B7" s="10"/>
      <c r="C7" s="1946"/>
      <c r="D7" s="1946"/>
      <c r="E7" s="252"/>
      <c r="F7" s="461"/>
    </row>
    <row r="8" spans="1:12" ht="168.75" customHeight="1" x14ac:dyDescent="0.3">
      <c r="A8" s="1947" t="s">
        <v>899</v>
      </c>
      <c r="B8" s="1947"/>
      <c r="C8" s="1947"/>
      <c r="D8" s="1947"/>
      <c r="E8" s="1947"/>
      <c r="F8" s="1947"/>
      <c r="G8" s="1947"/>
      <c r="H8" s="1947"/>
    </row>
    <row r="9" spans="1:12" ht="14.4" thickBot="1" x14ac:dyDescent="0.3">
      <c r="A9" s="1342"/>
      <c r="B9" s="10"/>
      <c r="C9" s="1345"/>
      <c r="D9" s="1345"/>
      <c r="E9" s="1272"/>
      <c r="F9" s="461"/>
      <c r="G9" s="1342"/>
      <c r="H9" s="1343"/>
    </row>
    <row r="10" spans="1:12" ht="23.4" thickBot="1" x14ac:dyDescent="0.35">
      <c r="A10" s="1948" t="s">
        <v>900</v>
      </c>
      <c r="B10" s="1949"/>
      <c r="C10" s="1949"/>
      <c r="D10" s="1949"/>
      <c r="E10" s="1950"/>
      <c r="F10" s="1949"/>
      <c r="G10" s="1949"/>
      <c r="H10" s="1951"/>
      <c r="J10" s="459"/>
      <c r="K10" s="459"/>
    </row>
    <row r="11" spans="1:12" ht="46.8" x14ac:dyDescent="0.3">
      <c r="A11" s="1346" t="s">
        <v>901</v>
      </c>
      <c r="B11" s="1346" t="s">
        <v>902</v>
      </c>
      <c r="C11" s="1347" t="s">
        <v>903</v>
      </c>
      <c r="D11" s="1348" t="s">
        <v>649</v>
      </c>
      <c r="E11" s="1349" t="s">
        <v>904</v>
      </c>
      <c r="F11" s="1350"/>
      <c r="G11" s="1351"/>
      <c r="H11" s="1343"/>
      <c r="J11" s="459"/>
      <c r="K11" s="459"/>
    </row>
    <row r="12" spans="1:12" ht="15.6" x14ac:dyDescent="0.3">
      <c r="A12" s="463" t="s">
        <v>905</v>
      </c>
      <c r="B12" s="1595">
        <f>C79</f>
        <v>19874171966247</v>
      </c>
      <c r="C12" s="1598">
        <f t="array" ref="C12">SUM(ABS(C24:C78))</f>
        <v>31342948809589</v>
      </c>
      <c r="D12" s="1596">
        <f>D79</f>
        <v>23970691903353</v>
      </c>
      <c r="E12" s="951">
        <f>IF(D12=0,"",D12/C12)</f>
        <v>0.76478738643823629</v>
      </c>
      <c r="F12" s="462"/>
      <c r="G12" s="464"/>
      <c r="I12" s="465"/>
      <c r="J12" s="465"/>
      <c r="K12" s="465"/>
    </row>
    <row r="13" spans="1:12" ht="15.6" x14ac:dyDescent="0.3">
      <c r="A13" s="463" t="s">
        <v>906</v>
      </c>
      <c r="B13" s="1595">
        <f>+C122</f>
        <v>19874171966247</v>
      </c>
      <c r="C13" s="1598">
        <f t="array" ref="C13">SUM(ABS(C83:C121))</f>
        <v>19874171966247</v>
      </c>
      <c r="D13" s="1596">
        <f>D122</f>
        <v>324115141833</v>
      </c>
      <c r="E13" s="951">
        <f>IF(D13=0,"",D13/C13)</f>
        <v>1.6308359532334532E-2</v>
      </c>
      <c r="F13" s="462"/>
      <c r="G13" s="464"/>
      <c r="I13" s="465"/>
      <c r="J13" s="465"/>
      <c r="K13" s="465"/>
    </row>
    <row r="14" spans="1:12" ht="15.6" x14ac:dyDescent="0.3">
      <c r="A14" s="466" t="s">
        <v>907</v>
      </c>
      <c r="B14" s="1629">
        <f>+'[3]ANALÍTICA ESTADO DE RESULTAD'!C44</f>
        <v>2162888261649</v>
      </c>
      <c r="C14" s="1597"/>
      <c r="D14" s="1631">
        <v>2158726448285</v>
      </c>
      <c r="E14" s="951">
        <f>IF(D14="","",D14/B14)</f>
        <v>0.99807580750342273</v>
      </c>
      <c r="F14" s="462"/>
      <c r="G14" s="464"/>
      <c r="I14" s="465"/>
      <c r="J14" s="465"/>
      <c r="K14" s="465"/>
    </row>
    <row r="15" spans="1:12" ht="15.6" x14ac:dyDescent="0.3">
      <c r="A15" s="463" t="s">
        <v>908</v>
      </c>
      <c r="B15" s="1630">
        <f>+'[3]ANALÍTICA ESTADO DE RESULTAD'!C45</f>
        <v>454486780672</v>
      </c>
      <c r="C15" s="1597"/>
      <c r="D15" s="1631">
        <v>363129871098</v>
      </c>
      <c r="E15" s="951">
        <f>IF(D15="","",D15/B15)</f>
        <v>0.79898885191133495</v>
      </c>
      <c r="G15" s="464"/>
      <c r="I15" s="465"/>
      <c r="J15" s="465"/>
      <c r="K15" s="465"/>
    </row>
    <row r="16" spans="1:12" ht="15.6" x14ac:dyDescent="0.3">
      <c r="A16" s="467"/>
      <c r="B16" s="468"/>
      <c r="C16" s="469"/>
      <c r="D16" s="470"/>
      <c r="E16" s="471"/>
      <c r="G16" s="464"/>
      <c r="I16" s="465"/>
      <c r="J16" s="465"/>
      <c r="K16" s="465"/>
    </row>
    <row r="17" spans="1:12" ht="132" customHeight="1" x14ac:dyDescent="0.3">
      <c r="A17" s="1952" t="s">
        <v>909</v>
      </c>
      <c r="B17" s="1952"/>
      <c r="C17" s="1952"/>
      <c r="D17" s="1952"/>
      <c r="E17" s="1952"/>
      <c r="F17" s="1952"/>
      <c r="G17" s="464"/>
      <c r="I17" s="465"/>
      <c r="J17" s="465"/>
      <c r="K17" s="465"/>
    </row>
    <row r="18" spans="1:12" x14ac:dyDescent="0.3">
      <c r="A18" s="472"/>
      <c r="B18" s="473"/>
      <c r="C18" s="473"/>
      <c r="D18" s="474"/>
      <c r="E18" s="474"/>
      <c r="F18" s="474"/>
      <c r="G18" s="474"/>
      <c r="H18" s="465"/>
      <c r="I18" s="465"/>
      <c r="J18" s="465"/>
      <c r="K18" s="465"/>
    </row>
    <row r="19" spans="1:12" ht="38.25" customHeight="1" x14ac:dyDescent="0.3">
      <c r="A19" s="1953" t="s">
        <v>910</v>
      </c>
      <c r="B19" s="1954"/>
      <c r="C19" s="1954"/>
      <c r="D19" s="1954"/>
      <c r="E19" s="1954"/>
      <c r="F19" s="1954"/>
      <c r="G19" s="1954"/>
      <c r="H19" s="1954"/>
      <c r="I19" s="1954"/>
      <c r="J19" s="1954"/>
      <c r="K19" s="1954"/>
      <c r="L19" s="1955"/>
    </row>
    <row r="20" spans="1:12" ht="18.45" customHeight="1" x14ac:dyDescent="0.3">
      <c r="A20" s="1956" t="s">
        <v>911</v>
      </c>
      <c r="B20" s="1957"/>
      <c r="C20" s="1957"/>
      <c r="D20" s="1957"/>
      <c r="E20" s="1957"/>
      <c r="F20" s="1957"/>
      <c r="G20" s="1957"/>
      <c r="H20" s="1957"/>
      <c r="I20" s="1957"/>
      <c r="J20" s="1957"/>
      <c r="K20" s="1957"/>
      <c r="L20" s="1958"/>
    </row>
    <row r="21" spans="1:12" ht="22.5" customHeight="1" thickBot="1" x14ac:dyDescent="0.35">
      <c r="A21" s="1959" t="s">
        <v>912</v>
      </c>
      <c r="B21" s="1960"/>
      <c r="C21" s="1960"/>
      <c r="D21" s="1960"/>
      <c r="E21" s="1961"/>
      <c r="F21" s="1961"/>
      <c r="G21" s="1961"/>
      <c r="H21" s="475" t="s">
        <v>913</v>
      </c>
      <c r="I21" s="476"/>
      <c r="J21" s="476"/>
      <c r="K21" s="476"/>
      <c r="L21" s="477"/>
    </row>
    <row r="22" spans="1:12" ht="17.25" customHeight="1" thickTop="1" thickBot="1" x14ac:dyDescent="0.35">
      <c r="A22" s="1962" t="s">
        <v>1784</v>
      </c>
      <c r="B22" s="1963"/>
      <c r="C22" s="1963"/>
      <c r="D22" s="1964"/>
      <c r="E22" s="1965" t="s">
        <v>914</v>
      </c>
      <c r="F22" s="1963"/>
      <c r="G22" s="1963"/>
      <c r="H22" s="1963"/>
      <c r="I22" s="1966"/>
      <c r="J22" s="478"/>
      <c r="K22" s="478"/>
      <c r="L22" s="479"/>
    </row>
    <row r="23" spans="1:12" ht="75.75" customHeight="1" thickTop="1" x14ac:dyDescent="0.3">
      <c r="A23" s="480" t="s">
        <v>915</v>
      </c>
      <c r="B23" s="481" t="s">
        <v>916</v>
      </c>
      <c r="C23" s="481" t="s">
        <v>917</v>
      </c>
      <c r="D23" s="481" t="s">
        <v>918</v>
      </c>
      <c r="E23" s="481" t="s">
        <v>919</v>
      </c>
      <c r="F23" s="481" t="s">
        <v>920</v>
      </c>
      <c r="G23" s="482" t="s">
        <v>921</v>
      </c>
      <c r="H23" s="483" t="s">
        <v>922</v>
      </c>
      <c r="I23" s="483" t="s">
        <v>923</v>
      </c>
      <c r="J23" s="483" t="s">
        <v>924</v>
      </c>
      <c r="K23" s="483" t="s">
        <v>925</v>
      </c>
      <c r="L23" s="484" t="s">
        <v>926</v>
      </c>
    </row>
    <row r="24" spans="1:12" ht="20.25" customHeight="1" x14ac:dyDescent="0.3">
      <c r="A24" s="485">
        <f>'[3]ANALÍTICA ESTADO SITUACIÓN F'!A12</f>
        <v>1105</v>
      </c>
      <c r="B24" s="493" t="str">
        <f>'[3]ANALÍTICA ESTADO SITUACIÓN F'!B12</f>
        <v>CAJA</v>
      </c>
      <c r="C24" s="487">
        <f>'[3]ANALÍTICA ESTADO SITUACIÓN F'!C12</f>
        <v>10000000</v>
      </c>
      <c r="D24" s="487">
        <v>10000000</v>
      </c>
      <c r="E24" s="487"/>
      <c r="F24" s="487"/>
      <c r="G24" s="488">
        <f t="shared" ref="G24:G78" si="0">+E24+F24</f>
        <v>0</v>
      </c>
      <c r="H24" s="489"/>
      <c r="I24" s="490">
        <f t="shared" ref="I24:I78" si="1">G24+H24</f>
        <v>0</v>
      </c>
      <c r="J24" s="491"/>
      <c r="K24" s="491" t="s">
        <v>928</v>
      </c>
      <c r="L24" s="492"/>
    </row>
    <row r="25" spans="1:12" ht="20.25" customHeight="1" x14ac:dyDescent="0.3">
      <c r="A25" s="485">
        <f>'[3]ANALÍTICA ESTADO SITUACIÓN F'!A13</f>
        <v>1110</v>
      </c>
      <c r="B25" s="493" t="str">
        <f>'[3]ANALÍTICA ESTADO SITUACIÓN F'!B13</f>
        <v>DEPOSITOS EN INSTITUCIONES FINANCIERAS</v>
      </c>
      <c r="C25" s="487">
        <f>'[3]ANALÍTICA ESTADO SITUACIÓN F'!C13</f>
        <v>170192789315</v>
      </c>
      <c r="D25" s="487">
        <v>170192789315</v>
      </c>
      <c r="E25" s="487"/>
      <c r="F25" s="487"/>
      <c r="G25" s="488">
        <f t="shared" si="0"/>
        <v>0</v>
      </c>
      <c r="H25" s="489"/>
      <c r="I25" s="490">
        <f t="shared" si="1"/>
        <v>0</v>
      </c>
      <c r="J25" s="491"/>
      <c r="K25" s="491"/>
      <c r="L25" s="492"/>
    </row>
    <row r="26" spans="1:12" ht="20.25" customHeight="1" x14ac:dyDescent="0.3">
      <c r="A26" s="485">
        <f>'[3]ANALÍTICA ESTADO SITUACIÓN F'!A14</f>
        <v>1132</v>
      </c>
      <c r="B26" s="493" t="str">
        <f>'[3]ANALÍTICA ESTADO SITUACIÓN F'!B14</f>
        <v>EFECTIVO DE USO RESTRINGIDO</v>
      </c>
      <c r="C26" s="487">
        <f>'[3]ANALÍTICA ESTADO SITUACIÓN F'!C14</f>
        <v>78450000</v>
      </c>
      <c r="D26" s="487"/>
      <c r="E26" s="487"/>
      <c r="F26" s="487"/>
      <c r="G26" s="488">
        <f t="shared" si="0"/>
        <v>0</v>
      </c>
      <c r="H26" s="489"/>
      <c r="I26" s="490">
        <f t="shared" si="1"/>
        <v>0</v>
      </c>
      <c r="J26" s="491"/>
      <c r="K26" s="491"/>
      <c r="L26" s="492"/>
    </row>
    <row r="27" spans="1:12" ht="20.25" customHeight="1" x14ac:dyDescent="0.3">
      <c r="A27" s="485">
        <f>'[3]ANALÍTICA ESTADO SITUACIÓN F'!A15</f>
        <v>1223</v>
      </c>
      <c r="B27" s="493" t="str">
        <f>'[3]ANALÍTICA ESTADO SITUACIÓN F'!B15</f>
        <v>INVERSIONES DE ADMINISTRACION DE LIQUIDEZ A COSTO</v>
      </c>
      <c r="C27" s="487">
        <f>'[3]ANALÍTICA ESTADO SITUACIÓN F'!C15</f>
        <v>0</v>
      </c>
      <c r="D27" s="487"/>
      <c r="E27" s="487"/>
      <c r="F27" s="487"/>
      <c r="G27" s="488">
        <f t="shared" si="0"/>
        <v>0</v>
      </c>
      <c r="H27" s="489"/>
      <c r="I27" s="490">
        <f t="shared" si="1"/>
        <v>0</v>
      </c>
      <c r="J27" s="491"/>
      <c r="K27" s="491"/>
      <c r="L27" s="492"/>
    </row>
    <row r="28" spans="1:12" ht="20.25" customHeight="1" x14ac:dyDescent="0.3">
      <c r="A28" s="485">
        <f>'[3]ANALÍTICA ESTADO SITUACIÓN F'!A16</f>
        <v>1224</v>
      </c>
      <c r="B28" s="493" t="str">
        <f>'[3]ANALÍTICA ESTADO SITUACIÓN F'!B16</f>
        <v>INVERSIONES DE ADMINISTRACION DE LIQUIDEZ AL COSTO</v>
      </c>
      <c r="C28" s="487">
        <f>'[3]ANALÍTICA ESTADO SITUACIÓN F'!C16</f>
        <v>20528265006</v>
      </c>
      <c r="D28" s="487"/>
      <c r="E28" s="487"/>
      <c r="F28" s="487"/>
      <c r="G28" s="488">
        <f t="shared" si="0"/>
        <v>0</v>
      </c>
      <c r="H28" s="489"/>
      <c r="I28" s="490">
        <f t="shared" si="1"/>
        <v>0</v>
      </c>
      <c r="J28" s="491"/>
      <c r="K28" s="491"/>
      <c r="L28" s="492"/>
    </row>
    <row r="29" spans="1:12" ht="20.25" customHeight="1" x14ac:dyDescent="0.3">
      <c r="A29" s="485">
        <f>'[3]ANALÍTICA ESTADO SITUACIÓN F'!A17</f>
        <v>1311</v>
      </c>
      <c r="B29" s="493" t="str">
        <f>'[3]ANALÍTICA ESTADO SITUACIÓN F'!B17</f>
        <v>INGRESOS NO TRIBUTARIOS</v>
      </c>
      <c r="C29" s="487">
        <f>'[3]ANALÍTICA ESTADO SITUACIÓN F'!C17</f>
        <v>26491885289</v>
      </c>
      <c r="D29" s="487">
        <v>26491885289</v>
      </c>
      <c r="E29" s="487"/>
      <c r="F29" s="487"/>
      <c r="G29" s="488">
        <f t="shared" si="0"/>
        <v>0</v>
      </c>
      <c r="H29" s="489"/>
      <c r="I29" s="490">
        <f t="shared" si="1"/>
        <v>0</v>
      </c>
      <c r="J29" s="491"/>
      <c r="K29" s="491"/>
      <c r="L29" s="492"/>
    </row>
    <row r="30" spans="1:12" ht="20.25" customHeight="1" x14ac:dyDescent="0.3">
      <c r="A30" s="485">
        <f>'[3]ANALÍTICA ESTADO SITUACIÓN F'!A18</f>
        <v>1337</v>
      </c>
      <c r="B30" s="493" t="str">
        <f>'[3]ANALÍTICA ESTADO SITUACIÓN F'!B18</f>
        <v>TRANSFERENCIAS POR COBRAR</v>
      </c>
      <c r="C30" s="487">
        <f>'[3]ANALÍTICA ESTADO SITUACIÓN F'!C18</f>
        <v>153887160072</v>
      </c>
      <c r="D30" s="487"/>
      <c r="E30" s="487"/>
      <c r="F30" s="487"/>
      <c r="G30" s="488">
        <f t="shared" si="0"/>
        <v>0</v>
      </c>
      <c r="H30" s="489"/>
      <c r="I30" s="490">
        <f t="shared" si="1"/>
        <v>0</v>
      </c>
      <c r="J30" s="491"/>
      <c r="K30" s="491"/>
      <c r="L30" s="492"/>
    </row>
    <row r="31" spans="1:12" ht="20.25" customHeight="1" x14ac:dyDescent="0.3">
      <c r="A31" s="485">
        <f>'[3]ANALÍTICA ESTADO SITUACIÓN F'!A19</f>
        <v>1338</v>
      </c>
      <c r="B31" s="493" t="str">
        <f>'[3]ANALÍTICA ESTADO SITUACIÓN F'!B19</f>
        <v>SENTENCIAS A FAVOR DE LA ENTIDAD</v>
      </c>
      <c r="C31" s="487">
        <f>'[3]ANALÍTICA ESTADO SITUACIÓN F'!C19</f>
        <v>1192186</v>
      </c>
      <c r="D31" s="487"/>
      <c r="E31" s="487"/>
      <c r="F31" s="487"/>
      <c r="G31" s="488">
        <f t="shared" si="0"/>
        <v>0</v>
      </c>
      <c r="H31" s="489"/>
      <c r="I31" s="490">
        <f t="shared" si="1"/>
        <v>0</v>
      </c>
      <c r="J31" s="491"/>
      <c r="K31" s="491"/>
      <c r="L31" s="492"/>
    </row>
    <row r="32" spans="1:12" ht="20.25" customHeight="1" x14ac:dyDescent="0.3">
      <c r="A32" s="485">
        <f>'[3]ANALÍTICA ESTADO SITUACIÓN F'!A20</f>
        <v>1384</v>
      </c>
      <c r="B32" s="493" t="str">
        <f>'[3]ANALÍTICA ESTADO SITUACIÓN F'!B20</f>
        <v>OTRAS CUENTAS POR COBRAR</v>
      </c>
      <c r="C32" s="487">
        <f>'[3]ANALÍTICA ESTADO SITUACIÓN F'!C20</f>
        <v>74910477330</v>
      </c>
      <c r="D32" s="487">
        <v>74910477330</v>
      </c>
      <c r="E32" s="487"/>
      <c r="F32" s="487"/>
      <c r="G32" s="488">
        <f t="shared" si="0"/>
        <v>0</v>
      </c>
      <c r="H32" s="489"/>
      <c r="I32" s="490">
        <f t="shared" si="1"/>
        <v>0</v>
      </c>
      <c r="J32" s="491"/>
      <c r="K32" s="491"/>
      <c r="L32" s="492"/>
    </row>
    <row r="33" spans="1:12" ht="20.25" customHeight="1" x14ac:dyDescent="0.3">
      <c r="A33" s="485">
        <f>'[3]ANALÍTICA ESTADO SITUACIÓN F'!A21</f>
        <v>1386</v>
      </c>
      <c r="B33" s="493" t="str">
        <f>'[3]ANALÍTICA ESTADO SITUACIÓN F'!B21</f>
        <v>DETERIORO ACUMULADO DE CUENTAS POR COBRAR (CR)</v>
      </c>
      <c r="C33" s="487">
        <f>'[3]ANALÍTICA ESTADO SITUACIÓN F'!C21</f>
        <v>-12951200774</v>
      </c>
      <c r="D33" s="487"/>
      <c r="E33" s="487"/>
      <c r="F33" s="487"/>
      <c r="G33" s="488">
        <f t="shared" si="0"/>
        <v>0</v>
      </c>
      <c r="H33" s="489"/>
      <c r="I33" s="490">
        <f t="shared" si="1"/>
        <v>0</v>
      </c>
      <c r="J33" s="491"/>
      <c r="K33" s="491"/>
      <c r="L33" s="492" t="s">
        <v>929</v>
      </c>
    </row>
    <row r="34" spans="1:12" ht="20.25" customHeight="1" x14ac:dyDescent="0.3">
      <c r="A34" s="485">
        <f>'[3]ANALÍTICA ESTADO SITUACIÓN F'!A22</f>
        <v>1510</v>
      </c>
      <c r="B34" s="493" t="str">
        <f>'[3]ANALÍTICA ESTADO SITUACIÓN F'!B22</f>
        <v>MERCANCÍAS EN EXISTENCIA</v>
      </c>
      <c r="C34" s="487">
        <f>'[3]ANALÍTICA ESTADO SITUACIÓN F'!C22</f>
        <v>7543221116</v>
      </c>
      <c r="D34" s="487"/>
      <c r="E34" s="487"/>
      <c r="F34" s="487"/>
      <c r="G34" s="488">
        <f t="shared" si="0"/>
        <v>0</v>
      </c>
      <c r="H34" s="489"/>
      <c r="I34" s="490">
        <f t="shared" si="1"/>
        <v>0</v>
      </c>
      <c r="J34" s="491"/>
      <c r="K34" s="491"/>
      <c r="L34" s="492"/>
    </row>
    <row r="35" spans="1:12" ht="27.75" customHeight="1" x14ac:dyDescent="0.3">
      <c r="A35" s="485">
        <f>'[3]ANALÍTICA ESTADO SITUACIÓN F'!A23</f>
        <v>1530</v>
      </c>
      <c r="B35" s="493" t="str">
        <f>'[3]ANALÍTICA ESTADO SITUACIÓN F'!B23</f>
        <v>EN PODER DE TERCEROS</v>
      </c>
      <c r="C35" s="487">
        <f>'[3]ANALÍTICA ESTADO SITUACIÓN F'!C23</f>
        <v>310778100</v>
      </c>
      <c r="D35" s="487"/>
      <c r="E35" s="487"/>
      <c r="F35" s="487"/>
      <c r="G35" s="488">
        <f t="shared" si="0"/>
        <v>0</v>
      </c>
      <c r="H35" s="489"/>
      <c r="I35" s="490">
        <f t="shared" si="1"/>
        <v>0</v>
      </c>
      <c r="J35" s="491"/>
      <c r="K35" s="491"/>
      <c r="L35" s="492"/>
    </row>
    <row r="36" spans="1:12" ht="20.25" customHeight="1" x14ac:dyDescent="0.3">
      <c r="A36" s="485">
        <f>'[3]ANALÍTICA ESTADO SITUACIÓN F'!A24</f>
        <v>1580</v>
      </c>
      <c r="B36" s="493" t="str">
        <f>'[3]ANALÍTICA ESTADO SITUACIÓN F'!B24</f>
        <v>DETERIORO ACUMULADO DE INVENTARIOS (CR)</v>
      </c>
      <c r="C36" s="487">
        <f>'[3]ANALÍTICA ESTADO SITUACIÓN F'!C24</f>
        <v>-130971089</v>
      </c>
      <c r="D36" s="487"/>
      <c r="E36" s="487"/>
      <c r="F36" s="487"/>
      <c r="G36" s="488">
        <f t="shared" si="0"/>
        <v>0</v>
      </c>
      <c r="H36" s="489"/>
      <c r="I36" s="490">
        <f t="shared" si="1"/>
        <v>0</v>
      </c>
      <c r="J36" s="491"/>
      <c r="K36" s="491"/>
      <c r="L36" s="492"/>
    </row>
    <row r="37" spans="1:12" ht="20.25" customHeight="1" x14ac:dyDescent="0.3">
      <c r="A37" s="485">
        <f>'[3]ANALÍTICA ESTADO SITUACIÓN F'!A25</f>
        <v>1605</v>
      </c>
      <c r="B37" s="493" t="str">
        <f>'[3]ANALÍTICA ESTADO SITUACIÓN F'!B25</f>
        <v>TERRENOS</v>
      </c>
      <c r="C37" s="487">
        <f>'[3]ANALÍTICA ESTADO SITUACIÓN F'!C25</f>
        <v>66177200768</v>
      </c>
      <c r="D37" s="487"/>
      <c r="E37" s="487"/>
      <c r="F37" s="487"/>
      <c r="G37" s="488">
        <f t="shared" si="0"/>
        <v>0</v>
      </c>
      <c r="H37" s="489"/>
      <c r="I37" s="490">
        <f t="shared" si="1"/>
        <v>0</v>
      </c>
      <c r="J37" s="491"/>
      <c r="K37" s="491"/>
      <c r="L37" s="492"/>
    </row>
    <row r="38" spans="1:12" ht="20.25" customHeight="1" x14ac:dyDescent="0.3">
      <c r="A38" s="485">
        <f>'[3]ANALÍTICA ESTADO SITUACIÓN F'!A26</f>
        <v>1635</v>
      </c>
      <c r="B38" s="493" t="str">
        <f>'[3]ANALÍTICA ESTADO SITUACIÓN F'!B26</f>
        <v>BIENES MUEBLES EN BODEGA</v>
      </c>
      <c r="C38" s="487">
        <f>'[3]ANALÍTICA ESTADO SITUACIÓN F'!C26</f>
        <v>0</v>
      </c>
      <c r="D38" s="487">
        <v>0</v>
      </c>
      <c r="E38" s="487"/>
      <c r="F38" s="487"/>
      <c r="G38" s="488">
        <f t="shared" si="0"/>
        <v>0</v>
      </c>
      <c r="H38" s="489"/>
      <c r="I38" s="490">
        <f t="shared" si="1"/>
        <v>0</v>
      </c>
      <c r="J38" s="491"/>
      <c r="K38" s="491"/>
      <c r="L38" s="492"/>
    </row>
    <row r="39" spans="1:12" ht="20.25" customHeight="1" x14ac:dyDescent="0.3">
      <c r="A39" s="485">
        <f>'[3]ANALÍTICA ESTADO SITUACIÓN F'!A27</f>
        <v>1637</v>
      </c>
      <c r="B39" s="493" t="str">
        <f>'[3]ANALÍTICA ESTADO SITUACIÓN F'!B27</f>
        <v>PROPIEDADES, PLANTA Y EQUIPO NO EXPLOTADOS</v>
      </c>
      <c r="C39" s="487">
        <f>'[3]ANALÍTICA ESTADO SITUACIÓN F'!C27</f>
        <v>7400614696</v>
      </c>
      <c r="D39" s="487"/>
      <c r="E39" s="487"/>
      <c r="F39" s="487"/>
      <c r="G39" s="488">
        <f t="shared" si="0"/>
        <v>0</v>
      </c>
      <c r="H39" s="489"/>
      <c r="I39" s="490">
        <f t="shared" si="1"/>
        <v>0</v>
      </c>
      <c r="J39" s="491"/>
      <c r="K39" s="491"/>
      <c r="L39" s="492"/>
    </row>
    <row r="40" spans="1:12" ht="20.25" customHeight="1" x14ac:dyDescent="0.3">
      <c r="A40" s="485">
        <f>'[3]ANALÍTICA ESTADO SITUACIÓN F'!A28</f>
        <v>1640</v>
      </c>
      <c r="B40" s="493" t="str">
        <f>'[3]ANALÍTICA ESTADO SITUACIÓN F'!B28</f>
        <v>EDIFICACIONES</v>
      </c>
      <c r="C40" s="487">
        <f>'[3]ANALÍTICA ESTADO SITUACIÓN F'!C28</f>
        <v>30485226072</v>
      </c>
      <c r="D40" s="487"/>
      <c r="E40" s="487"/>
      <c r="F40" s="487"/>
      <c r="G40" s="488">
        <f t="shared" si="0"/>
        <v>0</v>
      </c>
      <c r="H40" s="489"/>
      <c r="I40" s="490">
        <f t="shared" si="1"/>
        <v>0</v>
      </c>
      <c r="J40" s="491"/>
      <c r="K40" s="491"/>
      <c r="L40" s="492"/>
    </row>
    <row r="41" spans="1:12" ht="20.25" customHeight="1" x14ac:dyDescent="0.3">
      <c r="A41" s="485">
        <f>'[3]ANALÍTICA ESTADO SITUACIÓN F'!A29</f>
        <v>1650</v>
      </c>
      <c r="B41" s="493" t="str">
        <f>'[3]ANALÍTICA ESTADO SITUACIÓN F'!B29</f>
        <v>REDES, LINEAS Y CABLES</v>
      </c>
      <c r="C41" s="487">
        <f>'[3]ANALÍTICA ESTADO SITUACIÓN F'!C29</f>
        <v>873842885</v>
      </c>
      <c r="D41" s="487"/>
      <c r="E41" s="487"/>
      <c r="F41" s="487"/>
      <c r="G41" s="488">
        <f t="shared" si="0"/>
        <v>0</v>
      </c>
      <c r="H41" s="489"/>
      <c r="I41" s="490">
        <f t="shared" si="1"/>
        <v>0</v>
      </c>
      <c r="J41" s="491"/>
      <c r="K41" s="491"/>
      <c r="L41" s="492"/>
    </row>
    <row r="42" spans="1:12" ht="20.25" customHeight="1" x14ac:dyDescent="0.3">
      <c r="A42" s="485">
        <f>'[3]ANALÍTICA ESTADO SITUACIÓN F'!A30</f>
        <v>1655</v>
      </c>
      <c r="B42" s="493" t="str">
        <f>'[3]ANALÍTICA ESTADO SITUACIÓN F'!B30</f>
        <v>MAQUINARIA Y EQUIPO</v>
      </c>
      <c r="C42" s="487">
        <f>'[3]ANALÍTICA ESTADO SITUACIÓN F'!C30</f>
        <v>2159364527</v>
      </c>
      <c r="D42" s="487"/>
      <c r="E42" s="487"/>
      <c r="F42" s="487"/>
      <c r="G42" s="488">
        <f t="shared" si="0"/>
        <v>0</v>
      </c>
      <c r="H42" s="489"/>
      <c r="I42" s="490">
        <f t="shared" si="1"/>
        <v>0</v>
      </c>
      <c r="J42" s="491"/>
      <c r="K42" s="491"/>
      <c r="L42" s="492"/>
    </row>
    <row r="43" spans="1:12" ht="20.25" customHeight="1" x14ac:dyDescent="0.3">
      <c r="A43" s="485">
        <f>'[3]ANALÍTICA ESTADO SITUACIÓN F'!A31</f>
        <v>1660</v>
      </c>
      <c r="B43" s="493" t="str">
        <f>'[3]ANALÍTICA ESTADO SITUACIÓN F'!B31</f>
        <v>EQUIPO MEDICO Y CIENTIFICO</v>
      </c>
      <c r="C43" s="487">
        <f>'[3]ANALÍTICA ESTADO SITUACIÓN F'!C31</f>
        <v>14775626</v>
      </c>
      <c r="D43" s="487"/>
      <c r="E43" s="487"/>
      <c r="F43" s="487"/>
      <c r="G43" s="488">
        <f t="shared" si="0"/>
        <v>0</v>
      </c>
      <c r="H43" s="489"/>
      <c r="I43" s="490">
        <f t="shared" si="1"/>
        <v>0</v>
      </c>
      <c r="J43" s="491"/>
      <c r="K43" s="491"/>
      <c r="L43" s="492" t="s">
        <v>930</v>
      </c>
    </row>
    <row r="44" spans="1:12" ht="20.25" customHeight="1" x14ac:dyDescent="0.3">
      <c r="A44" s="485">
        <f>'[3]ANALÍTICA ESTADO SITUACIÓN F'!A32</f>
        <v>1665</v>
      </c>
      <c r="B44" s="493" t="str">
        <f>'[3]ANALÍTICA ESTADO SITUACIÓN F'!B32</f>
        <v>MUEBLES, ENSERES Y EQUIPO DE OFICINA</v>
      </c>
      <c r="C44" s="487">
        <f>'[3]ANALÍTICA ESTADO SITUACIÓN F'!C32</f>
        <v>2983554281</v>
      </c>
      <c r="D44" s="487"/>
      <c r="E44" s="487"/>
      <c r="F44" s="487"/>
      <c r="G44" s="488">
        <f t="shared" si="0"/>
        <v>0</v>
      </c>
      <c r="H44" s="489"/>
      <c r="I44" s="490">
        <f t="shared" si="1"/>
        <v>0</v>
      </c>
      <c r="J44" s="491"/>
      <c r="K44" s="491"/>
      <c r="L44" s="492"/>
    </row>
    <row r="45" spans="1:12" ht="20.25" customHeight="1" x14ac:dyDescent="0.3">
      <c r="A45" s="485">
        <f>'[3]ANALÍTICA ESTADO SITUACIÓN F'!A33</f>
        <v>1670</v>
      </c>
      <c r="B45" s="493" t="str">
        <f>'[3]ANALÍTICA ESTADO SITUACIÓN F'!B33</f>
        <v>EQUIPOS DE COMUNICACIÓN Y COMPUTACIÓN</v>
      </c>
      <c r="C45" s="487">
        <f>'[3]ANALÍTICA ESTADO SITUACIÓN F'!C33</f>
        <v>21013404288</v>
      </c>
      <c r="D45" s="487"/>
      <c r="E45" s="487"/>
      <c r="F45" s="487"/>
      <c r="G45" s="488">
        <f t="shared" si="0"/>
        <v>0</v>
      </c>
      <c r="H45" s="489"/>
      <c r="I45" s="490">
        <f t="shared" si="1"/>
        <v>0</v>
      </c>
      <c r="J45" s="491"/>
      <c r="K45" s="491"/>
      <c r="L45" s="492"/>
    </row>
    <row r="46" spans="1:12" ht="20.25" customHeight="1" x14ac:dyDescent="0.3">
      <c r="A46" s="485">
        <f>'[3]ANALÍTICA ESTADO SITUACIÓN F'!A34</f>
        <v>1675</v>
      </c>
      <c r="B46" s="493" t="str">
        <f>'[3]ANALÍTICA ESTADO SITUACIÓN F'!B34</f>
        <v>EQUIPOS DE TRANSPORTE, TRACCION Y ELEVACION</v>
      </c>
      <c r="C46" s="487">
        <f>'[3]ANALÍTICA ESTADO SITUACIÓN F'!C34</f>
        <v>2861184669</v>
      </c>
      <c r="D46" s="487"/>
      <c r="E46" s="487"/>
      <c r="F46" s="487"/>
      <c r="G46" s="488">
        <f t="shared" si="0"/>
        <v>0</v>
      </c>
      <c r="H46" s="489"/>
      <c r="I46" s="490">
        <f t="shared" si="1"/>
        <v>0</v>
      </c>
      <c r="J46" s="491"/>
      <c r="K46" s="491"/>
      <c r="L46" s="492"/>
    </row>
    <row r="47" spans="1:12" ht="20.25" customHeight="1" x14ac:dyDescent="0.3">
      <c r="A47" s="485">
        <f>'[3]ANALÍTICA ESTADO SITUACIÓN F'!A35</f>
        <v>1680</v>
      </c>
      <c r="B47" s="493" t="str">
        <f>'[3]ANALÍTICA ESTADO SITUACIÓN F'!B35</f>
        <v>EQUIPOS DE COMEDOR, COCINA, DESPENSA Y HOTELERÍA</v>
      </c>
      <c r="C47" s="487">
        <f>'[3]ANALÍTICA ESTADO SITUACIÓN F'!C35</f>
        <v>100357270</v>
      </c>
      <c r="D47" s="487"/>
      <c r="E47" s="487"/>
      <c r="F47" s="487"/>
      <c r="G47" s="488">
        <f t="shared" si="0"/>
        <v>0</v>
      </c>
      <c r="H47" s="489"/>
      <c r="I47" s="490">
        <f t="shared" si="1"/>
        <v>0</v>
      </c>
      <c r="J47" s="491"/>
      <c r="K47" s="491"/>
      <c r="L47" s="492"/>
    </row>
    <row r="48" spans="1:12" ht="20.25" customHeight="1" x14ac:dyDescent="0.3">
      <c r="A48" s="485">
        <f>'[3]ANALÍTICA ESTADO SITUACIÓN F'!A36</f>
        <v>1685</v>
      </c>
      <c r="B48" s="493" t="str">
        <f>'[3]ANALÍTICA ESTADO SITUACIÓN F'!B36</f>
        <v>DEPRECIACION ACUMULADA DE PROPIEDADES, PLANTA Y EQUIPO</v>
      </c>
      <c r="C48" s="487">
        <f>'[3]ANALÍTICA ESTADO SITUACIÓN F'!C36</f>
        <v>-28729866660</v>
      </c>
      <c r="D48" s="487"/>
      <c r="E48" s="487"/>
      <c r="F48" s="487"/>
      <c r="G48" s="488">
        <f t="shared" si="0"/>
        <v>0</v>
      </c>
      <c r="H48" s="489"/>
      <c r="I48" s="490">
        <f t="shared" si="1"/>
        <v>0</v>
      </c>
      <c r="J48" s="491"/>
      <c r="K48" s="491"/>
      <c r="L48" s="492"/>
    </row>
    <row r="49" spans="1:12" ht="20.25" customHeight="1" x14ac:dyDescent="0.3">
      <c r="A49" s="485">
        <f>'[3]ANALÍTICA ESTADO SITUACIÓN F'!A37</f>
        <v>1695</v>
      </c>
      <c r="B49" s="493" t="str">
        <f>'[3]ANALÍTICA ESTADO SITUACIÓN F'!B37</f>
        <v>DETERIORO ACUMULADO DE PROPIEDADES, PLANTA Y EQUIPO</v>
      </c>
      <c r="C49" s="487">
        <f>'[3]ANALÍTICA ESTADO SITUACIÓN F'!C37</f>
        <v>-1576313006</v>
      </c>
      <c r="D49" s="487"/>
      <c r="E49" s="487"/>
      <c r="F49" s="487"/>
      <c r="G49" s="488">
        <f t="shared" si="0"/>
        <v>0</v>
      </c>
      <c r="H49" s="489"/>
      <c r="I49" s="490">
        <f t="shared" si="1"/>
        <v>0</v>
      </c>
      <c r="J49" s="491"/>
      <c r="K49" s="491"/>
      <c r="L49" s="492"/>
    </row>
    <row r="50" spans="1:12" ht="20.25" customHeight="1" x14ac:dyDescent="0.3">
      <c r="A50" s="485">
        <f>'[3]ANALÍTICA ESTADO SITUACIÓN F'!A38</f>
        <v>1705</v>
      </c>
      <c r="B50" s="493" t="str">
        <f>'[3]ANALÍTICA ESTADO SITUACIÓN F'!B38</f>
        <v>BIENES DE USO PÚBLICO HISTÓRICO Y CULTURALES EN</v>
      </c>
      <c r="C50" s="487">
        <f>'[3]ANALÍTICA ESTADO SITUACIÓN F'!C38</f>
        <v>5287286580229</v>
      </c>
      <c r="D50" s="487">
        <v>5287286580229</v>
      </c>
      <c r="E50" s="487"/>
      <c r="F50" s="487"/>
      <c r="G50" s="488">
        <f t="shared" si="0"/>
        <v>0</v>
      </c>
      <c r="H50" s="489"/>
      <c r="I50" s="490">
        <f t="shared" si="1"/>
        <v>0</v>
      </c>
      <c r="J50" s="491"/>
      <c r="K50" s="491"/>
      <c r="L50" s="492"/>
    </row>
    <row r="51" spans="1:12" ht="20.25" customHeight="1" x14ac:dyDescent="0.3">
      <c r="A51" s="485">
        <f>'[3]ANALÍTICA ESTADO SITUACIÓN F'!A39</f>
        <v>1710</v>
      </c>
      <c r="B51" s="493" t="str">
        <f>'[3]ANALÍTICA ESTADO SITUACIÓN F'!B39</f>
        <v>BIENES DE USO PUBLICO EN SERVICIO</v>
      </c>
      <c r="C51" s="487">
        <f>'[3]ANALÍTICA ESTADO SITUACIÓN F'!C39</f>
        <v>18187255276490</v>
      </c>
      <c r="D51" s="487">
        <v>18187255276490</v>
      </c>
      <c r="E51" s="487"/>
      <c r="F51" s="487"/>
      <c r="G51" s="488">
        <f t="shared" si="0"/>
        <v>0</v>
      </c>
      <c r="H51" s="489"/>
      <c r="I51" s="490">
        <f t="shared" si="1"/>
        <v>0</v>
      </c>
      <c r="J51" s="491"/>
      <c r="K51" s="491"/>
      <c r="L51" s="492"/>
    </row>
    <row r="52" spans="1:12" ht="20.25" customHeight="1" x14ac:dyDescent="0.3">
      <c r="A52" s="485">
        <f>'[3]ANALÍTICA ESTADO SITUACIÓN F'!A40</f>
        <v>1785</v>
      </c>
      <c r="B52" s="493" t="str">
        <f>'[3]ANALÍTICA ESTADO SITUACIÓN F'!B40</f>
        <v>DEPRECIACIÓN ACUMULADA DE BIENES DE USO PÚBLICO (CR)</v>
      </c>
      <c r="C52" s="487">
        <f>'[3]ANALÍTICA ESTADO SITUACIÓN F'!C40</f>
        <v>-5684721118148</v>
      </c>
      <c r="D52" s="487"/>
      <c r="E52" s="487"/>
      <c r="F52" s="487"/>
      <c r="G52" s="488">
        <f t="shared" si="0"/>
        <v>0</v>
      </c>
      <c r="H52" s="489"/>
      <c r="I52" s="490">
        <f t="shared" si="1"/>
        <v>0</v>
      </c>
      <c r="J52" s="491"/>
      <c r="K52" s="491"/>
      <c r="L52" s="492"/>
    </row>
    <row r="53" spans="1:12" ht="20.25" customHeight="1" x14ac:dyDescent="0.3">
      <c r="A53" s="485">
        <f>'[3]ANALÍTICA ESTADO SITUACIÓN F'!A41</f>
        <v>1902</v>
      </c>
      <c r="B53" s="493" t="str">
        <f>'[3]ANALÍTICA ESTADO SITUACIÓN F'!B41</f>
        <v>PLAN DE ACTIVOS PARA BENEFICIOS A EMPLEADOS A LARGO</v>
      </c>
      <c r="C53" s="487">
        <f>'[3]ANALÍTICA ESTADO SITUACIÓN F'!C41</f>
        <v>899670410</v>
      </c>
      <c r="D53" s="487"/>
      <c r="E53" s="487"/>
      <c r="F53" s="487"/>
      <c r="G53" s="488">
        <f t="shared" si="0"/>
        <v>0</v>
      </c>
      <c r="H53" s="489"/>
      <c r="I53" s="490">
        <f t="shared" si="1"/>
        <v>0</v>
      </c>
      <c r="J53" s="491"/>
      <c r="K53" s="491"/>
      <c r="L53" s="492"/>
    </row>
    <row r="54" spans="1:12" ht="20.25" customHeight="1" x14ac:dyDescent="0.3">
      <c r="A54" s="485">
        <f>'[3]ANALÍTICA ESTADO SITUACIÓN F'!A42</f>
        <v>1905</v>
      </c>
      <c r="B54" s="493" t="str">
        <f>'[3]ANALÍTICA ESTADO SITUACIÓN F'!B42</f>
        <v>BIENES Y SERVICIOS PAGADOS POR ANTICIPADO</v>
      </c>
      <c r="C54" s="487">
        <f>'[3]ANALÍTICA ESTADO SITUACIÓN F'!C42</f>
        <v>0</v>
      </c>
      <c r="D54" s="487"/>
      <c r="E54" s="487"/>
      <c r="F54" s="487"/>
      <c r="G54" s="488">
        <f t="shared" si="0"/>
        <v>0</v>
      </c>
      <c r="H54" s="489"/>
      <c r="I54" s="490">
        <f t="shared" si="1"/>
        <v>0</v>
      </c>
      <c r="J54" s="491"/>
      <c r="K54" s="491"/>
      <c r="L54" s="492"/>
    </row>
    <row r="55" spans="1:12" ht="20.25" customHeight="1" x14ac:dyDescent="0.3">
      <c r="A55" s="485">
        <f>'[3]ANALÍTICA ESTADO SITUACIÓN F'!A43</f>
        <v>1906</v>
      </c>
      <c r="B55" s="493" t="str">
        <f>'[3]ANALÍTICA ESTADO SITUACIÓN F'!B43</f>
        <v>AVANCES Y ANTICIPOS ENTREGADOS</v>
      </c>
      <c r="C55" s="487">
        <f>'[3]ANALÍTICA ESTADO SITUACIÓN F'!C43</f>
        <v>224544894700</v>
      </c>
      <c r="D55" s="487">
        <v>224544894700</v>
      </c>
      <c r="E55" s="487"/>
      <c r="F55" s="487"/>
      <c r="G55" s="488">
        <f t="shared" si="0"/>
        <v>0</v>
      </c>
      <c r="H55" s="489"/>
      <c r="I55" s="490">
        <f t="shared" si="1"/>
        <v>0</v>
      </c>
      <c r="J55" s="491"/>
      <c r="K55" s="491"/>
      <c r="L55" s="492"/>
    </row>
    <row r="56" spans="1:12" ht="20.25" customHeight="1" x14ac:dyDescent="0.3">
      <c r="A56" s="485">
        <f>'[3]ANALÍTICA ESTADO SITUACIÓN F'!A44</f>
        <v>1907</v>
      </c>
      <c r="B56" s="493" t="str">
        <f>'[3]ANALÍTICA ESTADO SITUACIÓN F'!B44</f>
        <v xml:space="preserve">DERECHOS DE COMPENSACIONES POR IMPUESTOS Y RECURSOS </v>
      </c>
      <c r="C56" s="487">
        <f>'[3]ANALÍTICA ESTADO SITUACIÓN F'!C44</f>
        <v>31679447</v>
      </c>
      <c r="D56" s="487"/>
      <c r="E56" s="487"/>
      <c r="F56" s="487"/>
      <c r="G56" s="488">
        <f t="shared" si="0"/>
        <v>0</v>
      </c>
      <c r="H56" s="489"/>
      <c r="I56" s="490">
        <f t="shared" si="1"/>
        <v>0</v>
      </c>
      <c r="J56" s="491"/>
      <c r="K56" s="491"/>
      <c r="L56" s="492"/>
    </row>
    <row r="57" spans="1:12" ht="20.25" customHeight="1" x14ac:dyDescent="0.3">
      <c r="A57" s="485">
        <f>'[3]ANALÍTICA ESTADO SITUACIÓN F'!A45</f>
        <v>1908</v>
      </c>
      <c r="B57" s="493" t="str">
        <f>'[3]ANALÍTICA ESTADO SITUACIÓN F'!B45</f>
        <v>ENTREGADOS EN ADMINISTRACION</v>
      </c>
      <c r="C57" s="487">
        <f>'[3]ANALÍTICA ESTADO SITUACIÓN F'!C45</f>
        <v>1294505324890</v>
      </c>
      <c r="D57" s="487"/>
      <c r="E57" s="487"/>
      <c r="F57" s="487"/>
      <c r="G57" s="488">
        <f t="shared" si="0"/>
        <v>0</v>
      </c>
      <c r="H57" s="489"/>
      <c r="I57" s="490">
        <f t="shared" si="1"/>
        <v>0</v>
      </c>
      <c r="J57" s="491"/>
      <c r="K57" s="491"/>
      <c r="L57" s="492"/>
    </row>
    <row r="58" spans="1:12" ht="20.25" customHeight="1" x14ac:dyDescent="0.3">
      <c r="A58" s="485">
        <f>'[3]ANALÍTICA ESTADO SITUACIÓN F'!A46</f>
        <v>1909</v>
      </c>
      <c r="B58" s="493" t="str">
        <f>'[3]ANALÍTICA ESTADO SITUACIÓN F'!B46</f>
        <v>DEPÓSITOS ENTREGADOS EN GARANTÍA</v>
      </c>
      <c r="C58" s="487">
        <f>'[3]ANALÍTICA ESTADO SITUACIÓN F'!C46</f>
        <v>1039649688</v>
      </c>
      <c r="D58" s="487"/>
      <c r="E58" s="487"/>
      <c r="F58" s="487"/>
      <c r="G58" s="488">
        <f t="shared" si="0"/>
        <v>0</v>
      </c>
      <c r="H58" s="489"/>
      <c r="I58" s="490">
        <f t="shared" si="1"/>
        <v>0</v>
      </c>
      <c r="J58" s="491"/>
      <c r="K58" s="491"/>
      <c r="L58" s="492"/>
    </row>
    <row r="59" spans="1:12" ht="20.25" customHeight="1" x14ac:dyDescent="0.3">
      <c r="A59" s="485">
        <f>'[3]ANALÍTICA ESTADO SITUACIÓN F'!A47</f>
        <v>1970</v>
      </c>
      <c r="B59" s="493" t="str">
        <f>'[3]ANALÍTICA ESTADO SITUACIÓN F'!B47</f>
        <v>ACTIVOS INTANGIBLES</v>
      </c>
      <c r="C59" s="487">
        <f>'[3]ANALÍTICA ESTADO SITUACIÓN F'!C47</f>
        <v>24111493548</v>
      </c>
      <c r="D59" s="487"/>
      <c r="E59" s="487"/>
      <c r="F59" s="487"/>
      <c r="G59" s="488">
        <f t="shared" si="0"/>
        <v>0</v>
      </c>
      <c r="H59" s="489"/>
      <c r="I59" s="490">
        <f t="shared" si="1"/>
        <v>0</v>
      </c>
      <c r="J59" s="491"/>
      <c r="K59" s="491"/>
      <c r="L59" s="492"/>
    </row>
    <row r="60" spans="1:12" ht="20.25" customHeight="1" x14ac:dyDescent="0.3">
      <c r="A60" s="485">
        <f>'[3]ANALÍTICA ESTADO SITUACIÓN F'!A48</f>
        <v>1975</v>
      </c>
      <c r="B60" s="493" t="str">
        <f>'[3]ANALÍTICA ESTADO SITUACIÓN F'!B48</f>
        <v>AMORTIZACION ACUMULADA DE ACTIVOS INTANGIBLES (CR)</v>
      </c>
      <c r="C60" s="487">
        <f>'[3]ANALÍTICA ESTADO SITUACIÓN F'!C48</f>
        <v>-6170109053</v>
      </c>
      <c r="D60" s="487"/>
      <c r="E60" s="487"/>
      <c r="F60" s="487"/>
      <c r="G60" s="488">
        <f t="shared" si="0"/>
        <v>0</v>
      </c>
      <c r="H60" s="489"/>
      <c r="I60" s="490">
        <f t="shared" si="1"/>
        <v>0</v>
      </c>
      <c r="J60" s="491"/>
      <c r="K60" s="491"/>
      <c r="L60" s="492"/>
    </row>
    <row r="61" spans="1:12" ht="20.25" customHeight="1" x14ac:dyDescent="0.3">
      <c r="A61" s="485">
        <f>'[3]ANALÍTICA ESTADO SITUACIÓN F'!A49</f>
        <v>1976</v>
      </c>
      <c r="B61" s="493" t="str">
        <f>'[3]ANALÍTICA ESTADO SITUACIÓN F'!B49</f>
        <v>DETERIORO ACUMULADO DE ACTIVOS INTANGIBLES (CR)</v>
      </c>
      <c r="C61" s="487">
        <f>'[3]ANALÍTICA ESTADO SITUACIÓN F'!C49</f>
        <v>-108842941</v>
      </c>
      <c r="D61" s="487"/>
      <c r="E61" s="487"/>
      <c r="F61" s="487"/>
      <c r="G61" s="488">
        <f t="shared" si="0"/>
        <v>0</v>
      </c>
      <c r="H61" s="489"/>
      <c r="I61" s="490">
        <f t="shared" si="1"/>
        <v>0</v>
      </c>
      <c r="J61" s="491"/>
      <c r="K61" s="491"/>
      <c r="L61" s="492"/>
    </row>
    <row r="62" spans="1:12" ht="20.25" customHeight="1" x14ac:dyDescent="0.3">
      <c r="A62" s="485">
        <f>'[3]ANALÍTICA ESTADO SITUACIÓN F'!A50</f>
        <v>1986</v>
      </c>
      <c r="B62" s="493" t="str">
        <f>'[3]ANALÍTICA ESTADO SITUACIÓN F'!B50</f>
        <v>ACTIVOS DIFERIDOS</v>
      </c>
      <c r="C62" s="487">
        <f>'[3]ANALÍTICA ESTADO SITUACIÓN F'!C50</f>
        <v>862075020</v>
      </c>
      <c r="D62" s="487"/>
      <c r="E62" s="487"/>
      <c r="F62" s="487"/>
      <c r="G62" s="488">
        <f t="shared" si="0"/>
        <v>0</v>
      </c>
      <c r="H62" s="489"/>
      <c r="I62" s="490">
        <f t="shared" si="1"/>
        <v>0</v>
      </c>
      <c r="J62" s="491"/>
      <c r="K62" s="491"/>
      <c r="L62" s="492"/>
    </row>
    <row r="63" spans="1:12" ht="20.25" customHeight="1" x14ac:dyDescent="0.3">
      <c r="A63" s="485"/>
      <c r="B63" s="486"/>
      <c r="C63" s="1592"/>
      <c r="D63" s="487"/>
      <c r="E63" s="487"/>
      <c r="F63" s="487"/>
      <c r="G63" s="488">
        <f t="shared" si="0"/>
        <v>0</v>
      </c>
      <c r="H63" s="489"/>
      <c r="I63" s="490">
        <f t="shared" si="1"/>
        <v>0</v>
      </c>
      <c r="J63" s="491"/>
      <c r="K63" s="491"/>
      <c r="L63" s="492"/>
    </row>
    <row r="64" spans="1:12" ht="20.25" customHeight="1" x14ac:dyDescent="0.3">
      <c r="A64" s="485"/>
      <c r="B64" s="486"/>
      <c r="C64" s="1592"/>
      <c r="D64" s="487"/>
      <c r="E64" s="487"/>
      <c r="F64" s="487"/>
      <c r="G64" s="488">
        <f t="shared" si="0"/>
        <v>0</v>
      </c>
      <c r="H64" s="489"/>
      <c r="I64" s="490">
        <f t="shared" si="1"/>
        <v>0</v>
      </c>
      <c r="J64" s="491"/>
      <c r="K64" s="491"/>
      <c r="L64" s="492"/>
    </row>
    <row r="65" spans="1:12" ht="20.25" customHeight="1" x14ac:dyDescent="0.3">
      <c r="A65" s="485"/>
      <c r="B65" s="486"/>
      <c r="C65" s="1592"/>
      <c r="D65" s="487"/>
      <c r="E65" s="487"/>
      <c r="F65" s="487"/>
      <c r="G65" s="488">
        <f t="shared" si="0"/>
        <v>0</v>
      </c>
      <c r="H65" s="489"/>
      <c r="I65" s="490">
        <f t="shared" si="1"/>
        <v>0</v>
      </c>
      <c r="J65" s="491"/>
      <c r="K65" s="491"/>
      <c r="L65" s="492"/>
    </row>
    <row r="66" spans="1:12" ht="20.25" customHeight="1" x14ac:dyDescent="0.3">
      <c r="A66" s="485"/>
      <c r="B66" s="486"/>
      <c r="C66" s="1592"/>
      <c r="D66" s="487"/>
      <c r="E66" s="487"/>
      <c r="F66" s="487"/>
      <c r="G66" s="488">
        <f t="shared" si="0"/>
        <v>0</v>
      </c>
      <c r="H66" s="489"/>
      <c r="I66" s="490">
        <f t="shared" si="1"/>
        <v>0</v>
      </c>
      <c r="J66" s="491"/>
      <c r="K66" s="491"/>
      <c r="L66" s="492"/>
    </row>
    <row r="67" spans="1:12" ht="20.25" customHeight="1" x14ac:dyDescent="0.3">
      <c r="A67" s="485"/>
      <c r="B67" s="486"/>
      <c r="C67" s="1592"/>
      <c r="D67" s="487"/>
      <c r="E67" s="487"/>
      <c r="F67" s="487"/>
      <c r="G67" s="488">
        <f t="shared" si="0"/>
        <v>0</v>
      </c>
      <c r="H67" s="489"/>
      <c r="I67" s="490">
        <f t="shared" si="1"/>
        <v>0</v>
      </c>
      <c r="J67" s="491"/>
      <c r="K67" s="491"/>
      <c r="L67" s="492"/>
    </row>
    <row r="68" spans="1:12" ht="20.25" customHeight="1" x14ac:dyDescent="0.3">
      <c r="A68" s="485"/>
      <c r="B68" s="486"/>
      <c r="C68" s="1592"/>
      <c r="D68" s="487"/>
      <c r="E68" s="487"/>
      <c r="F68" s="487"/>
      <c r="G68" s="488">
        <f t="shared" si="0"/>
        <v>0</v>
      </c>
      <c r="H68" s="489"/>
      <c r="I68" s="490">
        <f t="shared" si="1"/>
        <v>0</v>
      </c>
      <c r="J68" s="491"/>
      <c r="K68" s="491"/>
      <c r="L68" s="492" t="s">
        <v>931</v>
      </c>
    </row>
    <row r="69" spans="1:12" ht="20.25" customHeight="1" x14ac:dyDescent="0.3">
      <c r="A69" s="485"/>
      <c r="B69" s="493"/>
      <c r="C69" s="1592"/>
      <c r="D69" s="487"/>
      <c r="E69" s="487"/>
      <c r="F69" s="487"/>
      <c r="G69" s="488">
        <f t="shared" si="0"/>
        <v>0</v>
      </c>
      <c r="H69" s="489"/>
      <c r="I69" s="490">
        <f t="shared" si="1"/>
        <v>0</v>
      </c>
      <c r="J69" s="491"/>
      <c r="K69" s="491"/>
      <c r="L69" s="492"/>
    </row>
    <row r="70" spans="1:12" ht="27" customHeight="1" x14ac:dyDescent="0.3">
      <c r="A70" s="485"/>
      <c r="B70" s="493"/>
      <c r="C70" s="1592"/>
      <c r="D70" s="487"/>
      <c r="E70" s="487"/>
      <c r="F70" s="487"/>
      <c r="G70" s="488">
        <f t="shared" si="0"/>
        <v>0</v>
      </c>
      <c r="H70" s="489"/>
      <c r="I70" s="490">
        <f t="shared" si="1"/>
        <v>0</v>
      </c>
      <c r="J70" s="491"/>
      <c r="K70" s="491"/>
      <c r="L70" s="492"/>
    </row>
    <row r="71" spans="1:12" ht="27" customHeight="1" x14ac:dyDescent="0.3">
      <c r="A71" s="485"/>
      <c r="B71" s="493"/>
      <c r="C71" s="1592"/>
      <c r="D71" s="487"/>
      <c r="E71" s="487"/>
      <c r="F71" s="487"/>
      <c r="G71" s="488">
        <f t="shared" si="0"/>
        <v>0</v>
      </c>
      <c r="H71" s="489"/>
      <c r="I71" s="490">
        <f t="shared" si="1"/>
        <v>0</v>
      </c>
      <c r="J71" s="491" t="s">
        <v>932</v>
      </c>
      <c r="K71" s="491"/>
      <c r="L71" s="492" t="s">
        <v>933</v>
      </c>
    </row>
    <row r="72" spans="1:12" ht="27" customHeight="1" x14ac:dyDescent="0.3">
      <c r="A72" s="485"/>
      <c r="B72" s="493"/>
      <c r="C72" s="1592"/>
      <c r="D72" s="487"/>
      <c r="E72" s="487"/>
      <c r="F72" s="487"/>
      <c r="G72" s="488">
        <f t="shared" si="0"/>
        <v>0</v>
      </c>
      <c r="H72" s="489"/>
      <c r="I72" s="490">
        <f t="shared" si="1"/>
        <v>0</v>
      </c>
      <c r="J72" s="491"/>
      <c r="K72" s="491"/>
      <c r="L72" s="492"/>
    </row>
    <row r="73" spans="1:12" ht="18" customHeight="1" x14ac:dyDescent="0.3">
      <c r="A73" s="485"/>
      <c r="B73" s="493"/>
      <c r="C73" s="1592"/>
      <c r="D73" s="487"/>
      <c r="E73" s="487"/>
      <c r="F73" s="487"/>
      <c r="G73" s="488">
        <f t="shared" si="0"/>
        <v>0</v>
      </c>
      <c r="H73" s="489"/>
      <c r="I73" s="490">
        <f t="shared" si="1"/>
        <v>0</v>
      </c>
      <c r="J73" s="491"/>
      <c r="K73" s="491"/>
      <c r="L73" s="492"/>
    </row>
    <row r="74" spans="1:12" ht="18" customHeight="1" x14ac:dyDescent="0.3">
      <c r="A74" s="485"/>
      <c r="B74" s="493"/>
      <c r="C74" s="1592"/>
      <c r="D74" s="487"/>
      <c r="E74" s="487"/>
      <c r="F74" s="487"/>
      <c r="G74" s="488">
        <f t="shared" si="0"/>
        <v>0</v>
      </c>
      <c r="H74" s="489"/>
      <c r="I74" s="490">
        <f t="shared" si="1"/>
        <v>0</v>
      </c>
      <c r="J74" s="491"/>
      <c r="K74" s="491"/>
      <c r="L74" s="492"/>
    </row>
    <row r="75" spans="1:12" ht="18" customHeight="1" x14ac:dyDescent="0.3">
      <c r="A75" s="485"/>
      <c r="B75" s="486"/>
      <c r="C75" s="1592"/>
      <c r="D75" s="487"/>
      <c r="E75" s="487"/>
      <c r="F75" s="487"/>
      <c r="G75" s="488">
        <f t="shared" si="0"/>
        <v>0</v>
      </c>
      <c r="H75" s="489"/>
      <c r="I75" s="490">
        <f t="shared" si="1"/>
        <v>0</v>
      </c>
      <c r="J75" s="491"/>
      <c r="K75" s="491"/>
      <c r="L75" s="492"/>
    </row>
    <row r="76" spans="1:12" ht="18" customHeight="1" x14ac:dyDescent="0.3">
      <c r="A76" s="485"/>
      <c r="B76" s="493"/>
      <c r="C76" s="1592"/>
      <c r="D76" s="487"/>
      <c r="E76" s="487"/>
      <c r="F76" s="487"/>
      <c r="G76" s="488">
        <f t="shared" si="0"/>
        <v>0</v>
      </c>
      <c r="H76" s="489"/>
      <c r="I76" s="490">
        <f t="shared" si="1"/>
        <v>0</v>
      </c>
      <c r="J76" s="491"/>
      <c r="K76" s="491"/>
      <c r="L76" s="492"/>
    </row>
    <row r="77" spans="1:12" ht="18" customHeight="1" x14ac:dyDescent="0.3">
      <c r="A77" s="485"/>
      <c r="B77" s="493"/>
      <c r="C77" s="1592"/>
      <c r="D77" s="487"/>
      <c r="E77" s="487"/>
      <c r="F77" s="487"/>
      <c r="G77" s="488">
        <f t="shared" si="0"/>
        <v>0</v>
      </c>
      <c r="H77" s="489"/>
      <c r="I77" s="490">
        <f t="shared" si="1"/>
        <v>0</v>
      </c>
      <c r="J77" s="491"/>
      <c r="K77" s="491"/>
      <c r="L77" s="492"/>
    </row>
    <row r="78" spans="1:12" ht="18" customHeight="1" x14ac:dyDescent="0.3">
      <c r="A78" s="485"/>
      <c r="B78" s="493"/>
      <c r="C78" s="1592"/>
      <c r="D78" s="487"/>
      <c r="E78" s="487"/>
      <c r="F78" s="487"/>
      <c r="G78" s="488">
        <f t="shared" si="0"/>
        <v>0</v>
      </c>
      <c r="H78" s="489"/>
      <c r="I78" s="490">
        <f t="shared" si="1"/>
        <v>0</v>
      </c>
      <c r="J78" s="491"/>
      <c r="K78" s="491"/>
      <c r="L78" s="492"/>
    </row>
    <row r="79" spans="1:12" x14ac:dyDescent="0.3">
      <c r="A79" s="494"/>
      <c r="B79" s="495" t="s">
        <v>935</v>
      </c>
      <c r="C79" s="1593">
        <f t="shared" ref="C79:I79" si="2">SUM(C24:C78)</f>
        <v>19874171966247</v>
      </c>
      <c r="D79" s="496">
        <f t="shared" si="2"/>
        <v>23970691903353</v>
      </c>
      <c r="E79" s="496">
        <f t="shared" si="2"/>
        <v>0</v>
      </c>
      <c r="F79" s="496">
        <f t="shared" si="2"/>
        <v>0</v>
      </c>
      <c r="G79" s="497">
        <f t="shared" si="2"/>
        <v>0</v>
      </c>
      <c r="H79" s="498">
        <f t="shared" si="2"/>
        <v>0</v>
      </c>
      <c r="I79" s="498">
        <f t="shared" si="2"/>
        <v>0</v>
      </c>
      <c r="J79" s="498"/>
      <c r="K79" s="498"/>
      <c r="L79" s="492"/>
    </row>
    <row r="80" spans="1:12" ht="15.6" thickBot="1" x14ac:dyDescent="0.35">
      <c r="A80" s="494"/>
      <c r="B80" s="499" t="s">
        <v>936</v>
      </c>
      <c r="C80" s="500"/>
      <c r="D80" s="501">
        <f>IF(D79&lt;=0,"",(D79/C79)*100)</f>
        <v>120.61227981756051</v>
      </c>
      <c r="E80" s="502"/>
      <c r="F80" s="502"/>
      <c r="G80" s="503">
        <f>IFERROR(IF(G79&lt;=0,0,+G79/$C$79),0)</f>
        <v>0</v>
      </c>
      <c r="H80" s="504">
        <f>IFERROR(IF(H79&lt;=0,0,+H79/C79),0)</f>
        <v>0</v>
      </c>
      <c r="I80" s="505">
        <f>IFERROR(IF(I79&lt;=0,0,I79/C79),0)</f>
        <v>0</v>
      </c>
      <c r="J80" s="506"/>
      <c r="K80" s="505"/>
      <c r="L80" s="492"/>
    </row>
    <row r="81" spans="1:12" ht="14.4" thickTop="1" x14ac:dyDescent="0.3">
      <c r="A81" s="494"/>
      <c r="B81" s="507"/>
      <c r="C81" s="507"/>
      <c r="D81" s="508"/>
      <c r="E81" s="507"/>
      <c r="F81" s="507"/>
      <c r="G81" s="509"/>
      <c r="H81" s="510"/>
      <c r="I81" s="511"/>
      <c r="J81" s="511"/>
      <c r="K81" s="511"/>
      <c r="L81" s="512"/>
    </row>
    <row r="82" spans="1:12" ht="93" customHeight="1" x14ac:dyDescent="0.3">
      <c r="A82" s="480" t="s">
        <v>915</v>
      </c>
      <c r="B82" s="513" t="s">
        <v>937</v>
      </c>
      <c r="C82" s="481" t="s">
        <v>917</v>
      </c>
      <c r="D82" s="481" t="s">
        <v>918</v>
      </c>
      <c r="E82" s="481" t="s">
        <v>919</v>
      </c>
      <c r="F82" s="481" t="s">
        <v>920</v>
      </c>
      <c r="G82" s="513" t="s">
        <v>921</v>
      </c>
      <c r="H82" s="513" t="s">
        <v>922</v>
      </c>
      <c r="I82" s="513" t="s">
        <v>923</v>
      </c>
      <c r="J82" s="513" t="s">
        <v>924</v>
      </c>
      <c r="K82" s="513" t="s">
        <v>925</v>
      </c>
      <c r="L82" s="514" t="s">
        <v>926</v>
      </c>
    </row>
    <row r="83" spans="1:12" ht="24" customHeight="1" x14ac:dyDescent="0.3">
      <c r="A83" s="485">
        <f>'[3]ANALÍTICA ESTADO SITUACIÓN F'!A52</f>
        <v>2401</v>
      </c>
      <c r="B83" s="493" t="str">
        <f>'[3]ANALÍTICA ESTADO SITUACIÓN F'!B52</f>
        <v>ADQUISICION DE BIENES Y SERVICIOS NACIONALES</v>
      </c>
      <c r="C83" s="1628">
        <f>'[3]ANALÍTICA ESTADO SITUACIÓN F'!C52</f>
        <v>51765649</v>
      </c>
      <c r="D83" s="1628"/>
      <c r="E83" s="487"/>
      <c r="F83" s="487"/>
      <c r="G83" s="488">
        <f t="shared" ref="G83:G101" si="3">+E83+F83</f>
        <v>0</v>
      </c>
      <c r="H83" s="489"/>
      <c r="I83" s="515">
        <f t="shared" ref="I83:I97" si="4">G83+H83</f>
        <v>0</v>
      </c>
      <c r="J83" s="491"/>
      <c r="K83" s="491"/>
      <c r="L83" s="492"/>
    </row>
    <row r="84" spans="1:12" ht="24" customHeight="1" x14ac:dyDescent="0.3">
      <c r="A84" s="485">
        <f>'[3]ANALÍTICA ESTADO SITUACIÓN F'!A53</f>
        <v>2407</v>
      </c>
      <c r="B84" s="493" t="str">
        <f>'[3]ANALÍTICA ESTADO SITUACIÓN F'!B53</f>
        <v>RECURSOS A FAVOR DE TERCEROS</v>
      </c>
      <c r="C84" s="1628">
        <f>'[3]ANALÍTICA ESTADO SITUACIÓN F'!C53</f>
        <v>8683851651</v>
      </c>
      <c r="D84" s="1628"/>
      <c r="E84" s="487"/>
      <c r="F84" s="487"/>
      <c r="G84" s="488">
        <f t="shared" si="3"/>
        <v>0</v>
      </c>
      <c r="H84" s="489"/>
      <c r="I84" s="515">
        <f t="shared" si="4"/>
        <v>0</v>
      </c>
      <c r="J84" s="491"/>
      <c r="K84" s="491"/>
      <c r="L84" s="492"/>
    </row>
    <row r="85" spans="1:12" ht="24" customHeight="1" x14ac:dyDescent="0.3">
      <c r="A85" s="485">
        <f>'[3]ANALÍTICA ESTADO SITUACIÓN F'!A54</f>
        <v>2424</v>
      </c>
      <c r="B85" s="493" t="str">
        <f>'[3]ANALÍTICA ESTADO SITUACIÓN F'!B54</f>
        <v>DESCUENTOS DE NOMINA</v>
      </c>
      <c r="C85" s="1628">
        <f>'[3]ANALÍTICA ESTADO SITUACIÓN F'!C54</f>
        <v>490375544</v>
      </c>
      <c r="D85" s="1628"/>
      <c r="E85" s="487"/>
      <c r="F85" s="487"/>
      <c r="G85" s="488">
        <f t="shared" si="3"/>
        <v>0</v>
      </c>
      <c r="H85" s="489"/>
      <c r="I85" s="515">
        <f t="shared" si="4"/>
        <v>0</v>
      </c>
      <c r="J85" s="491"/>
      <c r="K85" s="491"/>
      <c r="L85" s="492"/>
    </row>
    <row r="86" spans="1:12" ht="24" customHeight="1" x14ac:dyDescent="0.3">
      <c r="A86" s="485">
        <f>'[3]ANALÍTICA ESTADO SITUACIÓN F'!A55</f>
        <v>2436</v>
      </c>
      <c r="B86" s="493" t="str">
        <f>'[3]ANALÍTICA ESTADO SITUACIÓN F'!B55</f>
        <v>RETENCION EN LA FUENTE E IMPUESTO DE TIMBRE</v>
      </c>
      <c r="C86" s="1628">
        <f>'[3]ANALÍTICA ESTADO SITUACIÓN F'!C55</f>
        <v>11259374076</v>
      </c>
      <c r="D86" s="1628"/>
      <c r="E86" s="487"/>
      <c r="F86" s="487"/>
      <c r="G86" s="488">
        <f t="shared" si="3"/>
        <v>0</v>
      </c>
      <c r="H86" s="489"/>
      <c r="I86" s="515">
        <f t="shared" si="4"/>
        <v>0</v>
      </c>
      <c r="J86" s="491"/>
      <c r="K86" s="491"/>
      <c r="L86" s="492"/>
    </row>
    <row r="87" spans="1:12" ht="24" customHeight="1" x14ac:dyDescent="0.3">
      <c r="A87" s="485">
        <f>'[3]ANALÍTICA ESTADO SITUACIÓN F'!A56</f>
        <v>2440</v>
      </c>
      <c r="B87" s="493" t="str">
        <f>'[3]ANALÍTICA ESTADO SITUACIÓN F'!B56</f>
        <v>IMPUESTOS, CONTRIBUCIONES Y TASAS POR PAGAR</v>
      </c>
      <c r="C87" s="1628">
        <f>'[3]ANALÍTICA ESTADO SITUACIÓN F'!C56</f>
        <v>430775197</v>
      </c>
      <c r="D87" s="1628"/>
      <c r="E87" s="487"/>
      <c r="F87" s="487"/>
      <c r="G87" s="488">
        <f t="shared" si="3"/>
        <v>0</v>
      </c>
      <c r="H87" s="489"/>
      <c r="I87" s="515">
        <f t="shared" si="4"/>
        <v>0</v>
      </c>
      <c r="J87" s="491"/>
      <c r="K87" s="491"/>
      <c r="L87" s="492"/>
    </row>
    <row r="88" spans="1:12" ht="24" customHeight="1" x14ac:dyDescent="0.3">
      <c r="A88" s="485">
        <f>'[3]ANALÍTICA ESTADO SITUACIÓN F'!A57</f>
        <v>2460</v>
      </c>
      <c r="B88" s="493" t="str">
        <f>'[3]ANALÍTICA ESTADO SITUACIÓN F'!B57</f>
        <v>CRÉDITOS JUDICIALES</v>
      </c>
      <c r="C88" s="1628">
        <f>'[3]ANALÍTICA ESTADO SITUACIÓN F'!C57</f>
        <v>0</v>
      </c>
      <c r="D88" s="1628"/>
      <c r="E88" s="487"/>
      <c r="F88" s="487"/>
      <c r="G88" s="488">
        <f t="shared" si="3"/>
        <v>0</v>
      </c>
      <c r="H88" s="489"/>
      <c r="I88" s="515">
        <f t="shared" si="4"/>
        <v>0</v>
      </c>
      <c r="J88" s="491"/>
      <c r="K88" s="491"/>
      <c r="L88" s="492"/>
    </row>
    <row r="89" spans="1:12" ht="24" customHeight="1" x14ac:dyDescent="0.3">
      <c r="A89" s="485">
        <f>'[3]ANALÍTICA ESTADO SITUACIÓN F'!A58</f>
        <v>2490</v>
      </c>
      <c r="B89" s="493" t="str">
        <f>'[3]ANALÍTICA ESTADO SITUACIÓN F'!B58</f>
        <v>OTRAS CUENTAS POR PAGAR</v>
      </c>
      <c r="C89" s="1628">
        <f>'[3]ANALÍTICA ESTADO SITUACIÓN F'!C58</f>
        <v>7607587639</v>
      </c>
      <c r="D89" s="1628"/>
      <c r="E89" s="487"/>
      <c r="F89" s="487"/>
      <c r="G89" s="488">
        <f t="shared" si="3"/>
        <v>0</v>
      </c>
      <c r="H89" s="489"/>
      <c r="I89" s="515">
        <f t="shared" si="4"/>
        <v>0</v>
      </c>
      <c r="J89" s="491"/>
      <c r="K89" s="491"/>
      <c r="L89" s="492"/>
    </row>
    <row r="90" spans="1:12" ht="24" customHeight="1" x14ac:dyDescent="0.3">
      <c r="A90" s="485">
        <f>'[3]ANALÍTICA ESTADO SITUACIÓN F'!A59</f>
        <v>2511</v>
      </c>
      <c r="B90" s="493" t="str">
        <f>'[3]ANALÍTICA ESTADO SITUACIÓN F'!B59</f>
        <v>BENEFICIOS A LOS EMPLEADOS A CORTO PLAZO</v>
      </c>
      <c r="C90" s="1628">
        <f>'[3]ANALÍTICA ESTADO SITUACIÓN F'!C59</f>
        <v>22262078907</v>
      </c>
      <c r="D90" s="1628"/>
      <c r="E90" s="487"/>
      <c r="F90" s="487"/>
      <c r="G90" s="488">
        <f t="shared" si="3"/>
        <v>0</v>
      </c>
      <c r="H90" s="489"/>
      <c r="I90" s="515">
        <f t="shared" si="4"/>
        <v>0</v>
      </c>
      <c r="J90" s="491"/>
      <c r="K90" s="491"/>
      <c r="L90" s="492"/>
    </row>
    <row r="91" spans="1:12" ht="24" customHeight="1" x14ac:dyDescent="0.3">
      <c r="A91" s="485">
        <f>'[3]ANALÍTICA ESTADO SITUACIÓN F'!A60</f>
        <v>2512</v>
      </c>
      <c r="B91" s="493" t="str">
        <f>'[3]ANALÍTICA ESTADO SITUACIÓN F'!B60</f>
        <v>BENEFICIOS A LOS EMPLEADOS A LARGO PLAZO</v>
      </c>
      <c r="C91" s="1628">
        <f>'[3]ANALÍTICA ESTADO SITUACIÓN F'!C60</f>
        <v>4400756071</v>
      </c>
      <c r="D91" s="1628"/>
      <c r="E91" s="487"/>
      <c r="F91" s="487"/>
      <c r="G91" s="488">
        <f t="shared" si="3"/>
        <v>0</v>
      </c>
      <c r="H91" s="489"/>
      <c r="I91" s="515">
        <f t="shared" si="4"/>
        <v>0</v>
      </c>
      <c r="J91" s="491"/>
      <c r="K91" s="491"/>
      <c r="L91" s="492"/>
    </row>
    <row r="92" spans="1:12" ht="24" customHeight="1" x14ac:dyDescent="0.3">
      <c r="A92" s="485">
        <f>'[3]ANALÍTICA ESTADO SITUACIÓN F'!A61</f>
        <v>2701</v>
      </c>
      <c r="B92" s="493" t="str">
        <f>'[3]ANALÍTICA ESTADO SITUACIÓN F'!B61</f>
        <v>LITIGIOS Y DEMANDAS</v>
      </c>
      <c r="C92" s="1628">
        <f>'[3]ANALÍTICA ESTADO SITUACIÓN F'!C61</f>
        <v>61629520497</v>
      </c>
      <c r="D92" s="1628"/>
      <c r="E92" s="487"/>
      <c r="F92" s="487"/>
      <c r="G92" s="488">
        <f t="shared" si="3"/>
        <v>0</v>
      </c>
      <c r="H92" s="489"/>
      <c r="I92" s="515">
        <f t="shared" si="4"/>
        <v>0</v>
      </c>
      <c r="J92" s="491"/>
      <c r="K92" s="491"/>
      <c r="L92" s="492"/>
    </row>
    <row r="93" spans="1:12" ht="24" customHeight="1" x14ac:dyDescent="0.3">
      <c r="A93" s="485">
        <f>'[3]ANALÍTICA ESTADO SITUACIÓN F'!A62</f>
        <v>2901</v>
      </c>
      <c r="B93" s="493" t="str">
        <f>'[3]ANALÍTICA ESTADO SITUACIÓN F'!B62</f>
        <v>AVANCES Y ANTICIPOS RECIBIDOS</v>
      </c>
      <c r="C93" s="1628">
        <f>'[3]ANALÍTICA ESTADO SITUACIÓN F'!C62</f>
        <v>1676078052</v>
      </c>
      <c r="D93" s="1628">
        <v>1676078052</v>
      </c>
      <c r="E93" s="487"/>
      <c r="F93" s="487"/>
      <c r="G93" s="488">
        <f t="shared" si="3"/>
        <v>0</v>
      </c>
      <c r="H93" s="489"/>
      <c r="I93" s="515">
        <f t="shared" si="4"/>
        <v>0</v>
      </c>
      <c r="J93" s="491"/>
      <c r="K93" s="491"/>
      <c r="L93" s="492"/>
    </row>
    <row r="94" spans="1:12" ht="24" customHeight="1" x14ac:dyDescent="0.3">
      <c r="A94" s="485">
        <f>'[3]ANALÍTICA ESTADO SITUACIÓN F'!A63</f>
        <v>2902</v>
      </c>
      <c r="B94" s="493" t="str">
        <f>'[3]ANALÍTICA ESTADO SITUACIÓN F'!B63</f>
        <v>RECURSOS RECIBIDOS EN ADMINISTRACION</v>
      </c>
      <c r="C94" s="1628">
        <f>'[3]ANALÍTICA ESTADO SITUACIÓN F'!C63</f>
        <v>135924845901</v>
      </c>
      <c r="D94" s="1628">
        <v>135924845901</v>
      </c>
      <c r="E94" s="487"/>
      <c r="F94" s="487"/>
      <c r="G94" s="488">
        <f t="shared" si="3"/>
        <v>0</v>
      </c>
      <c r="H94" s="489"/>
      <c r="I94" s="515">
        <f t="shared" si="4"/>
        <v>0</v>
      </c>
      <c r="J94" s="491"/>
      <c r="K94" s="491"/>
      <c r="L94" s="492"/>
    </row>
    <row r="95" spans="1:12" ht="24" customHeight="1" x14ac:dyDescent="0.3">
      <c r="A95" s="485">
        <f>'[3]ANALÍTICA ESTADO SITUACIÓN F'!A64</f>
        <v>2903</v>
      </c>
      <c r="B95" s="493" t="str">
        <f>'[3]ANALÍTICA ESTADO SITUACIÓN F'!B64</f>
        <v>DEPÓSITOS RECIBIDOS EN GARANTÍA</v>
      </c>
      <c r="C95" s="1628">
        <f>'[3]ANALÍTICA ESTADO SITUACIÓN F'!C64</f>
        <v>76450499231</v>
      </c>
      <c r="D95" s="1628">
        <v>76450499231</v>
      </c>
      <c r="E95" s="487"/>
      <c r="F95" s="487"/>
      <c r="G95" s="488">
        <f t="shared" si="3"/>
        <v>0</v>
      </c>
      <c r="H95" s="489"/>
      <c r="I95" s="515">
        <f t="shared" si="4"/>
        <v>0</v>
      </c>
      <c r="J95" s="491"/>
      <c r="K95" s="491"/>
      <c r="L95" s="492"/>
    </row>
    <row r="96" spans="1:12" ht="24" customHeight="1" x14ac:dyDescent="0.3">
      <c r="A96" s="485">
        <f>'[3]ANALÍTICA ESTADO SITUACIÓN F'!A65</f>
        <v>2910</v>
      </c>
      <c r="B96" s="493" t="str">
        <f>'[3]ANALÍTICA ESTADO SITUACIÓN F'!B65</f>
        <v>INGRESOS RECIBIDOS POR ANTICIPADO</v>
      </c>
      <c r="C96" s="1628">
        <f>'[3]ANALÍTICA ESTADO SITUACIÓN F'!C65</f>
        <v>2978015091</v>
      </c>
      <c r="D96" s="1628">
        <v>2978015091</v>
      </c>
      <c r="E96" s="487"/>
      <c r="F96" s="487"/>
      <c r="G96" s="488">
        <f t="shared" si="3"/>
        <v>0</v>
      </c>
      <c r="H96" s="489"/>
      <c r="I96" s="515">
        <f t="shared" si="4"/>
        <v>0</v>
      </c>
      <c r="J96" s="491"/>
      <c r="K96" s="491"/>
      <c r="L96" s="492"/>
    </row>
    <row r="97" spans="1:12" ht="24" customHeight="1" x14ac:dyDescent="0.3">
      <c r="A97" s="485">
        <f>'[3]ANALÍTICA ESTADO SITUACIÓN F'!A66</f>
        <v>2990</v>
      </c>
      <c r="B97" s="493" t="str">
        <f>'[3]ANALÍTICA ESTADO SITUACIÓN F'!B66</f>
        <v>OTROS PASIVOS DIFERIDOS</v>
      </c>
      <c r="C97" s="1628">
        <f>'[3]ANALÍTICA ESTADO SITUACIÓN F'!C66</f>
        <v>107085703558</v>
      </c>
      <c r="D97" s="1628">
        <v>107085703558</v>
      </c>
      <c r="E97" s="487"/>
      <c r="F97" s="487"/>
      <c r="G97" s="488">
        <f t="shared" si="3"/>
        <v>0</v>
      </c>
      <c r="H97" s="489"/>
      <c r="I97" s="515">
        <f t="shared" si="4"/>
        <v>0</v>
      </c>
      <c r="J97" s="491"/>
      <c r="K97" s="491"/>
      <c r="L97" s="492" t="s">
        <v>938</v>
      </c>
    </row>
    <row r="98" spans="1:12" ht="24" customHeight="1" x14ac:dyDescent="0.3">
      <c r="A98" s="485">
        <f>'[3]ANALÍTICA ESTADO SITUACIÓN F'!A68</f>
        <v>3105</v>
      </c>
      <c r="B98" s="493" t="str">
        <f>'[3]ANALÍTICA ESTADO SITUACIÓN F'!B68</f>
        <v>CAPITAL FISCAL</v>
      </c>
      <c r="C98" s="1628">
        <f>'[3]ANALÍTICA ESTADO SITUACIÓN F'!C68</f>
        <v>10543397789911</v>
      </c>
      <c r="D98" s="1628"/>
      <c r="E98" s="487"/>
      <c r="F98" s="487"/>
      <c r="G98" s="488">
        <f t="shared" si="3"/>
        <v>0</v>
      </c>
      <c r="H98" s="489"/>
      <c r="I98" s="515">
        <f t="shared" ref="I98:I121" si="5">G98+H98</f>
        <v>0</v>
      </c>
      <c r="J98" s="491"/>
      <c r="K98" s="491"/>
      <c r="L98" s="492"/>
    </row>
    <row r="99" spans="1:12" ht="24" customHeight="1" x14ac:dyDescent="0.3">
      <c r="A99" s="485">
        <f>'[3]ANALÍTICA ESTADO SITUACIÓN F'!A69</f>
        <v>3109</v>
      </c>
      <c r="B99" s="493" t="str">
        <f>'[3]ANALÍTICA ESTADO SITUACIÓN F'!B69</f>
        <v>RESULTADO DE EJERCICIOS ANTERIORES</v>
      </c>
      <c r="C99" s="1628">
        <f>'[3]ANALÍTICA ESTADO SITUACIÓN F'!C69</f>
        <v>7185603281659</v>
      </c>
      <c r="D99" s="1628"/>
      <c r="E99" s="487"/>
      <c r="F99" s="487"/>
      <c r="G99" s="488">
        <f t="shared" si="3"/>
        <v>0</v>
      </c>
      <c r="H99" s="489"/>
      <c r="I99" s="515">
        <f t="shared" si="5"/>
        <v>0</v>
      </c>
      <c r="J99" s="491"/>
      <c r="K99" s="491"/>
      <c r="L99" s="492"/>
    </row>
    <row r="100" spans="1:12" ht="24" customHeight="1" x14ac:dyDescent="0.3">
      <c r="A100" s="485">
        <f>'[3]ANALÍTICA ESTADO SITUACIÓN F'!A70</f>
        <v>3110</v>
      </c>
      <c r="B100" s="493" t="str">
        <f>'[3]ANALÍTICA ESTADO SITUACIÓN F'!B70</f>
        <v>RESULTADO DEL EJERCICIO</v>
      </c>
      <c r="C100" s="1628">
        <f>'[3]ANALÍTICA ESTADO SITUACIÓN F'!C70</f>
        <v>1704239667613</v>
      </c>
      <c r="D100" s="1628"/>
      <c r="E100" s="487"/>
      <c r="F100" s="487"/>
      <c r="G100" s="488">
        <f t="shared" si="3"/>
        <v>0</v>
      </c>
      <c r="H100" s="489"/>
      <c r="I100" s="515">
        <f t="shared" si="5"/>
        <v>0</v>
      </c>
      <c r="J100" s="491"/>
      <c r="K100" s="491"/>
      <c r="L100" s="492" t="s">
        <v>940</v>
      </c>
    </row>
    <row r="101" spans="1:12" ht="24" customHeight="1" x14ac:dyDescent="0.3">
      <c r="A101" s="485"/>
      <c r="B101" s="493"/>
      <c r="C101" s="1592"/>
      <c r="D101" s="487"/>
      <c r="E101" s="487"/>
      <c r="F101" s="487"/>
      <c r="G101" s="488">
        <f t="shared" si="3"/>
        <v>0</v>
      </c>
      <c r="H101" s="489"/>
      <c r="I101" s="515">
        <f t="shared" si="5"/>
        <v>0</v>
      </c>
      <c r="J101" s="491"/>
      <c r="K101" s="491"/>
      <c r="L101" s="492"/>
    </row>
    <row r="102" spans="1:12" ht="24" customHeight="1" x14ac:dyDescent="0.3">
      <c r="A102" s="485"/>
      <c r="B102" s="493"/>
      <c r="C102" s="1592"/>
      <c r="D102" s="487"/>
      <c r="E102" s="487"/>
      <c r="F102" s="487"/>
      <c r="G102" s="488">
        <f t="shared" ref="G102:G121" si="6">+E102+F102</f>
        <v>0</v>
      </c>
      <c r="H102" s="489"/>
      <c r="I102" s="515">
        <f t="shared" si="5"/>
        <v>0</v>
      </c>
      <c r="J102" s="491"/>
      <c r="K102" s="491"/>
      <c r="L102" s="492"/>
    </row>
    <row r="103" spans="1:12" ht="24" customHeight="1" x14ac:dyDescent="0.3">
      <c r="A103" s="485"/>
      <c r="B103" s="493"/>
      <c r="C103" s="1592"/>
      <c r="D103" s="487"/>
      <c r="E103" s="487"/>
      <c r="F103" s="487"/>
      <c r="G103" s="488">
        <f t="shared" si="6"/>
        <v>0</v>
      </c>
      <c r="H103" s="489"/>
      <c r="I103" s="515">
        <f t="shared" si="5"/>
        <v>0</v>
      </c>
      <c r="J103" s="491"/>
      <c r="K103" s="491"/>
      <c r="L103" s="492"/>
    </row>
    <row r="104" spans="1:12" ht="24" customHeight="1" x14ac:dyDescent="0.3">
      <c r="A104" s="485"/>
      <c r="B104" s="493"/>
      <c r="C104" s="1592"/>
      <c r="D104" s="487"/>
      <c r="E104" s="487"/>
      <c r="F104" s="487"/>
      <c r="G104" s="488">
        <f t="shared" si="6"/>
        <v>0</v>
      </c>
      <c r="H104" s="489"/>
      <c r="I104" s="515">
        <f t="shared" si="5"/>
        <v>0</v>
      </c>
      <c r="J104" s="491"/>
      <c r="K104" s="491"/>
      <c r="L104" s="492"/>
    </row>
    <row r="105" spans="1:12" ht="24" customHeight="1" x14ac:dyDescent="0.3">
      <c r="A105" s="485"/>
      <c r="B105" s="493"/>
      <c r="C105" s="1592"/>
      <c r="D105" s="487"/>
      <c r="E105" s="487"/>
      <c r="F105" s="487"/>
      <c r="G105" s="488">
        <f t="shared" si="6"/>
        <v>0</v>
      </c>
      <c r="H105" s="489"/>
      <c r="I105" s="515">
        <f t="shared" si="5"/>
        <v>0</v>
      </c>
      <c r="J105" s="491"/>
      <c r="K105" s="491"/>
      <c r="L105" s="492"/>
    </row>
    <row r="106" spans="1:12" ht="24" customHeight="1" x14ac:dyDescent="0.3">
      <c r="A106" s="485"/>
      <c r="B106" s="493"/>
      <c r="C106" s="1592"/>
      <c r="D106" s="487"/>
      <c r="E106" s="487"/>
      <c r="F106" s="487"/>
      <c r="G106" s="488">
        <f t="shared" si="6"/>
        <v>0</v>
      </c>
      <c r="H106" s="489"/>
      <c r="I106" s="515">
        <f t="shared" si="5"/>
        <v>0</v>
      </c>
      <c r="J106" s="491"/>
      <c r="K106" s="491"/>
      <c r="L106" s="492"/>
    </row>
    <row r="107" spans="1:12" ht="24" customHeight="1" x14ac:dyDescent="0.3">
      <c r="A107" s="485"/>
      <c r="B107" s="493"/>
      <c r="C107" s="1592"/>
      <c r="D107" s="487"/>
      <c r="E107" s="487"/>
      <c r="F107" s="487"/>
      <c r="G107" s="488">
        <f t="shared" si="6"/>
        <v>0</v>
      </c>
      <c r="H107" s="489"/>
      <c r="I107" s="515">
        <f t="shared" si="5"/>
        <v>0</v>
      </c>
      <c r="J107" s="491"/>
      <c r="K107" s="491"/>
      <c r="L107" s="492"/>
    </row>
    <row r="108" spans="1:12" ht="24" customHeight="1" x14ac:dyDescent="0.3">
      <c r="A108" s="485"/>
      <c r="B108" s="493"/>
      <c r="C108" s="1592"/>
      <c r="D108" s="487"/>
      <c r="E108" s="487"/>
      <c r="F108" s="487"/>
      <c r="G108" s="488">
        <f t="shared" si="6"/>
        <v>0</v>
      </c>
      <c r="H108" s="489"/>
      <c r="I108" s="515">
        <f t="shared" si="5"/>
        <v>0</v>
      </c>
      <c r="J108" s="491"/>
      <c r="K108" s="491"/>
      <c r="L108" s="492"/>
    </row>
    <row r="109" spans="1:12" ht="24" customHeight="1" x14ac:dyDescent="0.3">
      <c r="A109" s="485"/>
      <c r="B109" s="493"/>
      <c r="C109" s="1592"/>
      <c r="D109" s="487"/>
      <c r="E109" s="487"/>
      <c r="F109" s="487"/>
      <c r="G109" s="488">
        <f t="shared" si="6"/>
        <v>0</v>
      </c>
      <c r="H109" s="489"/>
      <c r="I109" s="515">
        <f t="shared" si="5"/>
        <v>0</v>
      </c>
      <c r="J109" s="491"/>
      <c r="K109" s="491"/>
      <c r="L109" s="492"/>
    </row>
    <row r="110" spans="1:12" ht="24" customHeight="1" x14ac:dyDescent="0.3">
      <c r="A110" s="485"/>
      <c r="B110" s="493"/>
      <c r="C110" s="1592"/>
      <c r="D110" s="487"/>
      <c r="E110" s="487"/>
      <c r="F110" s="487"/>
      <c r="G110" s="488">
        <f t="shared" si="6"/>
        <v>0</v>
      </c>
      <c r="H110" s="489"/>
      <c r="I110" s="515">
        <f t="shared" si="5"/>
        <v>0</v>
      </c>
      <c r="J110" s="491"/>
      <c r="K110" s="491"/>
      <c r="L110" s="492"/>
    </row>
    <row r="111" spans="1:12" x14ac:dyDescent="0.3">
      <c r="A111" s="485"/>
      <c r="B111" s="493"/>
      <c r="C111" s="1592"/>
      <c r="D111" s="487"/>
      <c r="E111" s="487"/>
      <c r="F111" s="487"/>
      <c r="G111" s="488">
        <f t="shared" si="6"/>
        <v>0</v>
      </c>
      <c r="H111" s="489"/>
      <c r="I111" s="515">
        <f t="shared" si="5"/>
        <v>0</v>
      </c>
      <c r="J111" s="491"/>
      <c r="K111" s="491"/>
      <c r="L111" s="492"/>
    </row>
    <row r="112" spans="1:12" x14ac:dyDescent="0.3">
      <c r="A112" s="485"/>
      <c r="B112" s="516"/>
      <c r="C112" s="1592"/>
      <c r="D112" s="487"/>
      <c r="E112" s="487"/>
      <c r="F112" s="487"/>
      <c r="G112" s="488">
        <f t="shared" si="6"/>
        <v>0</v>
      </c>
      <c r="H112" s="489"/>
      <c r="I112" s="515">
        <f t="shared" si="5"/>
        <v>0</v>
      </c>
      <c r="J112" s="491"/>
      <c r="K112" s="491"/>
      <c r="L112" s="492"/>
    </row>
    <row r="113" spans="1:12" x14ac:dyDescent="0.3">
      <c r="A113" s="485"/>
      <c r="B113" s="516"/>
      <c r="C113" s="1592"/>
      <c r="D113" s="515"/>
      <c r="E113" s="487"/>
      <c r="F113" s="487"/>
      <c r="G113" s="488">
        <f t="shared" si="6"/>
        <v>0</v>
      </c>
      <c r="H113" s="489"/>
      <c r="I113" s="515">
        <f t="shared" si="5"/>
        <v>0</v>
      </c>
      <c r="J113" s="491"/>
      <c r="K113" s="491"/>
      <c r="L113" s="492"/>
    </row>
    <row r="114" spans="1:12" x14ac:dyDescent="0.3">
      <c r="A114" s="485"/>
      <c r="B114" s="516"/>
      <c r="C114" s="1592"/>
      <c r="D114" s="487"/>
      <c r="E114" s="487"/>
      <c r="F114" s="517"/>
      <c r="G114" s="488">
        <f t="shared" si="6"/>
        <v>0</v>
      </c>
      <c r="H114" s="489"/>
      <c r="I114" s="515">
        <f t="shared" si="5"/>
        <v>0</v>
      </c>
      <c r="J114" s="491"/>
      <c r="K114" s="491"/>
      <c r="L114" s="492"/>
    </row>
    <row r="115" spans="1:12" x14ac:dyDescent="0.3">
      <c r="A115" s="485"/>
      <c r="B115" s="516"/>
      <c r="C115" s="1592"/>
      <c r="D115" s="487"/>
      <c r="E115" s="487"/>
      <c r="F115" s="487"/>
      <c r="G115" s="488">
        <f t="shared" si="6"/>
        <v>0</v>
      </c>
      <c r="H115" s="489"/>
      <c r="I115" s="515">
        <f t="shared" si="5"/>
        <v>0</v>
      </c>
      <c r="J115" s="491"/>
      <c r="K115" s="491"/>
      <c r="L115" s="492"/>
    </row>
    <row r="116" spans="1:12" x14ac:dyDescent="0.3">
      <c r="A116" s="485"/>
      <c r="B116" s="516"/>
      <c r="C116" s="1592"/>
      <c r="D116" s="487"/>
      <c r="E116" s="487"/>
      <c r="F116" s="487"/>
      <c r="G116" s="488">
        <f t="shared" si="6"/>
        <v>0</v>
      </c>
      <c r="H116" s="489"/>
      <c r="I116" s="515">
        <f t="shared" si="5"/>
        <v>0</v>
      </c>
      <c r="J116" s="491"/>
      <c r="K116" s="491"/>
      <c r="L116" s="492"/>
    </row>
    <row r="117" spans="1:12" x14ac:dyDescent="0.3">
      <c r="A117" s="485"/>
      <c r="B117" s="516"/>
      <c r="C117" s="1592"/>
      <c r="D117" s="487"/>
      <c r="E117" s="487"/>
      <c r="F117" s="487"/>
      <c r="G117" s="488">
        <f t="shared" si="6"/>
        <v>0</v>
      </c>
      <c r="H117" s="489"/>
      <c r="I117" s="515">
        <f t="shared" si="5"/>
        <v>0</v>
      </c>
      <c r="J117" s="491"/>
      <c r="K117" s="491"/>
      <c r="L117" s="492"/>
    </row>
    <row r="118" spans="1:12" x14ac:dyDescent="0.3">
      <c r="A118" s="485"/>
      <c r="B118" s="516"/>
      <c r="C118" s="1592"/>
      <c r="D118" s="487"/>
      <c r="E118" s="487"/>
      <c r="F118" s="487"/>
      <c r="G118" s="488">
        <f t="shared" si="6"/>
        <v>0</v>
      </c>
      <c r="H118" s="489"/>
      <c r="I118" s="515">
        <f t="shared" si="5"/>
        <v>0</v>
      </c>
      <c r="J118" s="491"/>
      <c r="K118" s="491"/>
      <c r="L118" s="492"/>
    </row>
    <row r="119" spans="1:12" x14ac:dyDescent="0.3">
      <c r="A119" s="485"/>
      <c r="B119" s="516"/>
      <c r="C119" s="1592"/>
      <c r="D119" s="487"/>
      <c r="E119" s="487"/>
      <c r="F119" s="487"/>
      <c r="G119" s="488">
        <f t="shared" si="6"/>
        <v>0</v>
      </c>
      <c r="H119" s="489"/>
      <c r="I119" s="515">
        <f t="shared" si="5"/>
        <v>0</v>
      </c>
      <c r="J119" s="491"/>
      <c r="K119" s="491"/>
      <c r="L119" s="492"/>
    </row>
    <row r="120" spans="1:12" x14ac:dyDescent="0.3">
      <c r="A120" s="485"/>
      <c r="B120" s="516"/>
      <c r="C120" s="1592"/>
      <c r="D120" s="487"/>
      <c r="E120" s="487"/>
      <c r="F120" s="487"/>
      <c r="G120" s="488">
        <f t="shared" si="6"/>
        <v>0</v>
      </c>
      <c r="H120" s="489"/>
      <c r="I120" s="515">
        <f t="shared" si="5"/>
        <v>0</v>
      </c>
      <c r="J120" s="491"/>
      <c r="K120" s="491"/>
      <c r="L120" s="492"/>
    </row>
    <row r="121" spans="1:12" x14ac:dyDescent="0.3">
      <c r="A121" s="485"/>
      <c r="B121" s="516"/>
      <c r="C121" s="1592"/>
      <c r="D121" s="487"/>
      <c r="E121" s="487"/>
      <c r="F121" s="487"/>
      <c r="G121" s="488">
        <f t="shared" si="6"/>
        <v>0</v>
      </c>
      <c r="H121" s="489"/>
      <c r="I121" s="515">
        <f t="shared" si="5"/>
        <v>0</v>
      </c>
      <c r="J121" s="491"/>
      <c r="K121" s="491"/>
      <c r="L121" s="492"/>
    </row>
    <row r="122" spans="1:12" x14ac:dyDescent="0.3">
      <c r="A122" s="518"/>
      <c r="B122" s="519" t="s">
        <v>941</v>
      </c>
      <c r="C122" s="1593">
        <f t="shared" ref="C122:I122" si="7">SUM(C83:C121)</f>
        <v>19874171966247</v>
      </c>
      <c r="D122" s="496">
        <f t="shared" si="7"/>
        <v>324115141833</v>
      </c>
      <c r="E122" s="496">
        <f t="shared" si="7"/>
        <v>0</v>
      </c>
      <c r="F122" s="496">
        <f t="shared" si="7"/>
        <v>0</v>
      </c>
      <c r="G122" s="496">
        <f>SUM(G83:G121)</f>
        <v>0</v>
      </c>
      <c r="H122" s="520">
        <f t="shared" si="7"/>
        <v>0</v>
      </c>
      <c r="I122" s="520">
        <f t="shared" si="7"/>
        <v>0</v>
      </c>
      <c r="J122" s="498"/>
      <c r="K122" s="496"/>
      <c r="L122" s="521"/>
    </row>
    <row r="123" spans="1:12" ht="15.6" thickBot="1" x14ac:dyDescent="0.35">
      <c r="A123" s="1967" t="s">
        <v>942</v>
      </c>
      <c r="B123" s="1968"/>
      <c r="C123" s="1594"/>
      <c r="D123" s="522">
        <f>IFERROR(IF(D122&lt;=0,0,(D122/C122)*100),"")</f>
        <v>1.6308359532334533</v>
      </c>
      <c r="E123" s="523"/>
      <c r="F123" s="523"/>
      <c r="G123" s="503">
        <f>IFERROR(IF(G122&lt;=0,0,G122/C122),0)</f>
        <v>0</v>
      </c>
      <c r="H123" s="524">
        <f>IFERROR(IF(H122&lt;=0,0,H122/C122),0)</f>
        <v>0</v>
      </c>
      <c r="I123" s="525">
        <f>IFERROR(IF(I122&lt;=0,0,I122/C122),0)</f>
        <v>0</v>
      </c>
      <c r="J123" s="526"/>
      <c r="K123" s="506"/>
      <c r="L123" s="521"/>
    </row>
    <row r="124" spans="1:12" ht="16.5" customHeight="1" thickTop="1" thickBot="1" x14ac:dyDescent="0.35">
      <c r="A124" s="1927" t="s">
        <v>943</v>
      </c>
      <c r="B124" s="1928"/>
      <c r="C124" s="527"/>
      <c r="D124" s="528"/>
      <c r="E124" s="527"/>
      <c r="F124" s="527"/>
      <c r="G124" s="529">
        <f>IF(G123&gt;=G80,G123,G80)</f>
        <v>0</v>
      </c>
      <c r="H124" s="530">
        <f>IF(H123&gt;=H80,H123,H80)</f>
        <v>0</v>
      </c>
      <c r="I124" s="530">
        <f>IFERROR(G124+H124,"")</f>
        <v>0</v>
      </c>
      <c r="J124" s="531"/>
      <c r="K124" s="506"/>
      <c r="L124" s="532"/>
    </row>
    <row r="125" spans="1:12" ht="15.75" customHeight="1" thickTop="1" thickBot="1" x14ac:dyDescent="0.35">
      <c r="A125" s="1927" t="s">
        <v>944</v>
      </c>
      <c r="B125" s="1928"/>
      <c r="C125" s="533"/>
      <c r="D125" s="533"/>
      <c r="E125" s="533"/>
      <c r="F125" s="533"/>
      <c r="G125" s="534">
        <f>IF(G122&gt;=G79,G122,G79)</f>
        <v>0</v>
      </c>
      <c r="H125" s="534">
        <f>IF(H122&gt;=H79,H122,H79)</f>
        <v>0</v>
      </c>
      <c r="I125" s="520">
        <f>IFERROR(G125+H125,"")</f>
        <v>0</v>
      </c>
      <c r="J125" s="535"/>
      <c r="K125" s="535"/>
      <c r="L125" s="521"/>
    </row>
    <row r="126" spans="1:12" s="462" customFormat="1" ht="15.75" customHeight="1" x14ac:dyDescent="0.3">
      <c r="A126" s="536"/>
      <c r="B126" s="536"/>
      <c r="C126" s="537"/>
      <c r="D126" s="537"/>
      <c r="E126" s="537"/>
      <c r="F126" s="537"/>
      <c r="G126" s="538"/>
      <c r="H126" s="538"/>
      <c r="I126" s="539"/>
      <c r="J126" s="540"/>
      <c r="K126" s="540"/>
      <c r="L126" s="541"/>
    </row>
    <row r="127" spans="1:12" s="462" customFormat="1" ht="237.75" customHeight="1" x14ac:dyDescent="0.3">
      <c r="A127" s="1929" t="s">
        <v>945</v>
      </c>
      <c r="B127" s="1929"/>
      <c r="C127" s="1929"/>
      <c r="D127" s="1929"/>
      <c r="E127" s="1929"/>
      <c r="F127" s="1929"/>
      <c r="G127" s="1929"/>
      <c r="H127" s="1929"/>
      <c r="I127" s="1929"/>
      <c r="J127" s="1929"/>
      <c r="K127" s="1929"/>
      <c r="L127" s="1929"/>
    </row>
    <row r="128" spans="1:12" s="462" customFormat="1" x14ac:dyDescent="0.3">
      <c r="A128" s="542"/>
      <c r="B128" s="542"/>
      <c r="C128" s="542"/>
      <c r="D128" s="542"/>
      <c r="E128" s="542"/>
      <c r="F128" s="542"/>
      <c r="G128" s="542"/>
      <c r="H128" s="542"/>
      <c r="I128" s="542"/>
      <c r="J128" s="542"/>
      <c r="K128" s="542"/>
      <c r="L128" s="542"/>
    </row>
    <row r="129" spans="1:12" s="462" customFormat="1" ht="295.5" customHeight="1" x14ac:dyDescent="0.3">
      <c r="A129" s="1929" t="s">
        <v>946</v>
      </c>
      <c r="B129" s="1929"/>
      <c r="C129" s="1929"/>
      <c r="D129" s="1929"/>
      <c r="E129" s="1929"/>
      <c r="F129" s="1929"/>
      <c r="G129" s="1929"/>
      <c r="H129" s="1929"/>
      <c r="I129" s="1929"/>
      <c r="J129" s="1929"/>
      <c r="K129" s="1929"/>
      <c r="L129" s="1929"/>
    </row>
    <row r="130" spans="1:12" s="462" customFormat="1" ht="14.25" customHeight="1" x14ac:dyDescent="0.3">
      <c r="A130" s="536"/>
      <c r="B130" s="536"/>
      <c r="C130" s="537"/>
      <c r="D130" s="537"/>
      <c r="E130" s="537"/>
      <c r="F130" s="537"/>
      <c r="G130" s="538"/>
      <c r="H130" s="538"/>
      <c r="I130" s="539"/>
      <c r="J130" s="540"/>
      <c r="K130" s="540"/>
      <c r="L130" s="541"/>
    </row>
    <row r="131" spans="1:12" ht="6.75" customHeight="1" x14ac:dyDescent="0.3">
      <c r="A131" s="543"/>
      <c r="B131" s="533"/>
      <c r="C131" s="533"/>
      <c r="D131" s="533"/>
      <c r="E131" s="533"/>
      <c r="F131" s="533"/>
      <c r="G131" s="540"/>
      <c r="H131" s="540"/>
      <c r="I131" s="540"/>
      <c r="J131" s="543"/>
      <c r="K131" s="543"/>
      <c r="L131" s="512"/>
    </row>
    <row r="132" spans="1:12" ht="44.25" customHeight="1" x14ac:dyDescent="0.3">
      <c r="A132" s="1930" t="s">
        <v>947</v>
      </c>
      <c r="B132" s="1931"/>
      <c r="C132" s="1931"/>
      <c r="D132" s="1931"/>
      <c r="E132" s="1931"/>
      <c r="F132" s="1932"/>
      <c r="G132" s="1933"/>
      <c r="H132" s="1933"/>
      <c r="I132" s="1933"/>
      <c r="J132" s="1933"/>
      <c r="K132" s="1933"/>
      <c r="L132" s="1934"/>
    </row>
    <row r="133" spans="1:12" ht="46.5" customHeight="1" thickBot="1" x14ac:dyDescent="0.35">
      <c r="A133" s="544" t="s">
        <v>948</v>
      </c>
      <c r="B133" s="544" t="s">
        <v>949</v>
      </c>
      <c r="C133" s="544" t="s">
        <v>950</v>
      </c>
      <c r="D133" s="544" t="s">
        <v>951</v>
      </c>
      <c r="E133" s="544" t="s">
        <v>952</v>
      </c>
      <c r="F133" s="544" t="s">
        <v>953</v>
      </c>
      <c r="G133" s="329"/>
      <c r="H133" s="545"/>
      <c r="I133" s="546"/>
      <c r="J133" s="546"/>
      <c r="K133" s="329"/>
      <c r="L133" s="547"/>
    </row>
    <row r="134" spans="1:12" ht="69" customHeight="1" thickBot="1" x14ac:dyDescent="0.35">
      <c r="A134" s="548" t="s">
        <v>954</v>
      </c>
      <c r="B134" s="549" t="s">
        <v>955</v>
      </c>
      <c r="C134" s="550" t="s">
        <v>956</v>
      </c>
      <c r="D134" s="550" t="s">
        <v>957</v>
      </c>
      <c r="E134" s="551">
        <v>100</v>
      </c>
      <c r="F134" s="552" t="s">
        <v>499</v>
      </c>
      <c r="G134" s="553"/>
      <c r="H134" s="554"/>
      <c r="I134" s="555"/>
      <c r="J134" s="556"/>
      <c r="K134" s="554"/>
      <c r="L134" s="557"/>
    </row>
    <row r="135" spans="1:12" ht="79.5" customHeight="1" thickBot="1" x14ac:dyDescent="0.35">
      <c r="A135" s="548" t="s">
        <v>958</v>
      </c>
      <c r="B135" s="549" t="s">
        <v>959</v>
      </c>
      <c r="C135" s="550" t="s">
        <v>960</v>
      </c>
      <c r="D135" s="550" t="s">
        <v>961</v>
      </c>
      <c r="E135" s="551">
        <v>75</v>
      </c>
      <c r="F135" s="552" t="s">
        <v>499</v>
      </c>
      <c r="H135" s="457"/>
      <c r="I135" s="457"/>
      <c r="L135" s="512"/>
    </row>
    <row r="136" spans="1:12" ht="81.75" customHeight="1" thickBot="1" x14ac:dyDescent="0.35">
      <c r="A136" s="548" t="s">
        <v>962</v>
      </c>
      <c r="B136" s="549" t="s">
        <v>963</v>
      </c>
      <c r="C136" s="558" t="s">
        <v>964</v>
      </c>
      <c r="D136" s="558" t="s">
        <v>965</v>
      </c>
      <c r="E136" s="551">
        <v>0</v>
      </c>
      <c r="F136" s="552" t="s">
        <v>514</v>
      </c>
      <c r="H136" s="457"/>
      <c r="I136" s="457"/>
      <c r="L136" s="512"/>
    </row>
    <row r="137" spans="1:12" ht="84.75" customHeight="1" thickBot="1" x14ac:dyDescent="0.35">
      <c r="A137" s="548" t="s">
        <v>966</v>
      </c>
      <c r="B137" s="559"/>
      <c r="C137" s="558" t="s">
        <v>965</v>
      </c>
      <c r="D137" s="558" t="s">
        <v>965</v>
      </c>
      <c r="E137" s="551">
        <v>0</v>
      </c>
      <c r="F137" s="552" t="s">
        <v>514</v>
      </c>
      <c r="H137" s="457"/>
      <c r="I137" s="457"/>
      <c r="L137" s="512"/>
    </row>
    <row r="138" spans="1:12" ht="24" customHeight="1" x14ac:dyDescent="0.3">
      <c r="A138" s="560"/>
      <c r="B138" s="561"/>
      <c r="C138" s="562"/>
      <c r="D138" s="562"/>
      <c r="E138" s="561"/>
      <c r="F138" s="561"/>
      <c r="H138" s="457"/>
      <c r="I138" s="457"/>
      <c r="L138" s="512"/>
    </row>
    <row r="139" spans="1:12" ht="33.75" customHeight="1" x14ac:dyDescent="0.3">
      <c r="A139" s="1935" t="s">
        <v>967</v>
      </c>
      <c r="B139" s="1936"/>
      <c r="C139" s="1936"/>
      <c r="D139" s="1936"/>
      <c r="E139" s="1936"/>
      <c r="F139" s="1936"/>
      <c r="G139" s="1936"/>
      <c r="H139" s="1936"/>
      <c r="I139" s="1936"/>
      <c r="J139" s="1936"/>
      <c r="K139" s="1936"/>
      <c r="L139" s="563"/>
    </row>
    <row r="140" spans="1:12" ht="61.5" customHeight="1" x14ac:dyDescent="0.3">
      <c r="A140" s="1937" t="s">
        <v>968</v>
      </c>
      <c r="B140" s="1937"/>
      <c r="C140" s="564" t="s">
        <v>969</v>
      </c>
      <c r="D140" s="564" t="s">
        <v>970</v>
      </c>
      <c r="E140" s="565" t="s">
        <v>971</v>
      </c>
      <c r="F140" s="566" t="s">
        <v>969</v>
      </c>
      <c r="G140" s="564" t="s">
        <v>970</v>
      </c>
      <c r="H140" s="567"/>
      <c r="I140" s="565" t="s">
        <v>972</v>
      </c>
      <c r="J140" s="564" t="s">
        <v>969</v>
      </c>
      <c r="K140" s="564" t="s">
        <v>970</v>
      </c>
      <c r="L140" s="563"/>
    </row>
    <row r="141" spans="1:12" ht="95.25" customHeight="1" x14ac:dyDescent="0.3">
      <c r="A141" s="1938" t="s">
        <v>973</v>
      </c>
      <c r="B141" s="1939"/>
      <c r="C141" s="568">
        <f>G79/I150</f>
        <v>0</v>
      </c>
      <c r="D141" s="568">
        <f>G80/H150</f>
        <v>0</v>
      </c>
      <c r="E141" s="569" t="s">
        <v>974</v>
      </c>
      <c r="F141" s="568">
        <f>H79/I150</f>
        <v>0</v>
      </c>
      <c r="G141" s="568">
        <f>H80/H150</f>
        <v>0</v>
      </c>
      <c r="H141" s="567"/>
      <c r="I141" s="569" t="s">
        <v>975</v>
      </c>
      <c r="J141" s="568">
        <f>I79/I150</f>
        <v>0</v>
      </c>
      <c r="K141" s="568">
        <f>I80/H150</f>
        <v>0</v>
      </c>
      <c r="L141" s="563"/>
    </row>
    <row r="142" spans="1:12" ht="106.5" customHeight="1" x14ac:dyDescent="0.3">
      <c r="A142" s="1938" t="s">
        <v>976</v>
      </c>
      <c r="B142" s="1939"/>
      <c r="C142" s="568">
        <f>G122/I150</f>
        <v>0</v>
      </c>
      <c r="D142" s="568">
        <f>G123/H150</f>
        <v>0</v>
      </c>
      <c r="E142" s="569" t="s">
        <v>977</v>
      </c>
      <c r="F142" s="568">
        <f>H122/I150</f>
        <v>0</v>
      </c>
      <c r="G142" s="568">
        <f>H123/H150</f>
        <v>0</v>
      </c>
      <c r="H142" s="567"/>
      <c r="I142" s="569" t="s">
        <v>978</v>
      </c>
      <c r="J142" s="568">
        <f>I122/I150</f>
        <v>0</v>
      </c>
      <c r="K142" s="568">
        <f>I123/H150</f>
        <v>0</v>
      </c>
      <c r="L142" s="563"/>
    </row>
    <row r="143" spans="1:12" ht="17.399999999999999" x14ac:dyDescent="0.3">
      <c r="A143" s="570"/>
      <c r="B143" s="571"/>
      <c r="C143" s="571"/>
      <c r="D143" s="571"/>
      <c r="E143" s="571"/>
      <c r="G143" s="572"/>
      <c r="H143" s="457"/>
      <c r="I143" s="572"/>
      <c r="L143" s="563"/>
    </row>
    <row r="144" spans="1:12" ht="66.75" customHeight="1" x14ac:dyDescent="0.3">
      <c r="A144" s="1940" t="s">
        <v>979</v>
      </c>
      <c r="B144" s="1940"/>
      <c r="C144" s="573">
        <f>IF(C141&gt;C142,C141,C142)</f>
        <v>0</v>
      </c>
      <c r="D144" s="573">
        <f>IF(D141&gt;D142,D141,D142)</f>
        <v>0</v>
      </c>
      <c r="E144" s="574" t="s">
        <v>979</v>
      </c>
      <c r="F144" s="573">
        <f>IF(F141&gt;F142,F141,F142)</f>
        <v>0</v>
      </c>
      <c r="G144" s="573">
        <f>IF(G141&gt;G142,G141,G142)</f>
        <v>0</v>
      </c>
      <c r="H144" s="575"/>
      <c r="I144" s="576" t="s">
        <v>979</v>
      </c>
      <c r="J144" s="573">
        <f>IF(J141&gt;J142,J141,J142)</f>
        <v>0</v>
      </c>
      <c r="K144" s="573">
        <f>IF(K141&gt;K142,K141,K142)</f>
        <v>0</v>
      </c>
      <c r="L144" s="563"/>
    </row>
    <row r="145" spans="1:12" ht="17.399999999999999" x14ac:dyDescent="0.3">
      <c r="A145" s="577"/>
      <c r="B145" s="577"/>
      <c r="C145" s="575"/>
      <c r="D145" s="575"/>
      <c r="E145" s="578"/>
      <c r="F145" s="575"/>
      <c r="G145" s="575"/>
      <c r="H145" s="575"/>
      <c r="I145" s="579"/>
      <c r="J145" s="575"/>
      <c r="K145" s="575"/>
      <c r="L145" s="563"/>
    </row>
    <row r="146" spans="1:12" ht="66.75" customHeight="1" x14ac:dyDescent="0.3">
      <c r="A146" s="1941" t="s">
        <v>980</v>
      </c>
      <c r="B146" s="1941"/>
      <c r="C146" s="1941"/>
      <c r="D146" s="1941"/>
      <c r="E146" s="1941"/>
      <c r="F146" s="1941"/>
      <c r="G146" s="1941"/>
      <c r="H146" s="575"/>
      <c r="I146" s="579"/>
      <c r="J146" s="575"/>
      <c r="K146" s="575"/>
      <c r="L146" s="563"/>
    </row>
    <row r="147" spans="1:12" ht="17.399999999999999" x14ac:dyDescent="0.3">
      <c r="A147" s="570"/>
      <c r="B147" s="571"/>
      <c r="C147" s="571"/>
      <c r="D147" s="571"/>
      <c r="E147" s="571"/>
      <c r="G147" s="572"/>
      <c r="H147" s="457"/>
      <c r="I147" s="572"/>
      <c r="L147" s="563"/>
    </row>
    <row r="148" spans="1:12" ht="76.5" customHeight="1" x14ac:dyDescent="0.3">
      <c r="A148" s="570"/>
      <c r="B148" s="571"/>
      <c r="C148" s="571"/>
      <c r="D148" s="1913" t="s">
        <v>981</v>
      </c>
      <c r="E148" s="1914"/>
      <c r="F148" s="1914"/>
      <c r="G148" s="1914"/>
      <c r="H148" s="1914"/>
      <c r="I148" s="1915"/>
      <c r="L148" s="563"/>
    </row>
    <row r="149" spans="1:12" ht="57.75" customHeight="1" x14ac:dyDescent="0.3">
      <c r="A149" s="570"/>
      <c r="B149" s="571"/>
      <c r="C149" s="571"/>
      <c r="D149" s="366" t="s">
        <v>737</v>
      </c>
      <c r="E149" s="580" t="s">
        <v>722</v>
      </c>
      <c r="F149" s="581" t="s">
        <v>738</v>
      </c>
      <c r="G149" s="582" t="s">
        <v>982</v>
      </c>
      <c r="H149" s="366" t="s">
        <v>740</v>
      </c>
      <c r="I149" s="583" t="s">
        <v>741</v>
      </c>
      <c r="L149" s="563"/>
    </row>
    <row r="150" spans="1:12" ht="17.399999999999999" x14ac:dyDescent="0.3">
      <c r="A150" s="570"/>
      <c r="B150" s="571"/>
      <c r="C150" s="571"/>
      <c r="D150" s="584">
        <f>+'MATERIALIDAD FINANCIERA'!B51</f>
        <v>5</v>
      </c>
      <c r="E150" s="585" t="str">
        <f>+'MATERIALIDAD FINANCIERA'!C51</f>
        <v>Entre &gt;2,3% y &lt;=3%</v>
      </c>
      <c r="F150" s="586" t="str">
        <f>+'MATERIALIDAD FINANCIERA'!D51</f>
        <v>Activos</v>
      </c>
      <c r="G150" s="587">
        <f>+'MATERIALIDAD FINANCIERA'!E51</f>
        <v>19874171966247</v>
      </c>
      <c r="H150" s="585" t="str">
        <f>+'MATERIALIDAD FINANCIERA'!F51</f>
        <v>3%</v>
      </c>
      <c r="I150" s="588">
        <f>G150*H150</f>
        <v>596225158987.41003</v>
      </c>
      <c r="L150" s="563"/>
    </row>
    <row r="151" spans="1:12" ht="17.399999999999999" x14ac:dyDescent="0.3">
      <c r="A151" s="570"/>
      <c r="B151" s="571"/>
      <c r="C151" s="571"/>
      <c r="D151" s="571"/>
      <c r="E151" s="571"/>
      <c r="G151" s="572"/>
      <c r="H151" s="457"/>
      <c r="I151" s="572"/>
      <c r="L151" s="563"/>
    </row>
    <row r="152" spans="1:12" ht="54" customHeight="1" x14ac:dyDescent="0.3">
      <c r="B152" s="571"/>
      <c r="C152" s="571"/>
      <c r="D152" s="1902" t="s">
        <v>983</v>
      </c>
      <c r="E152" s="1902"/>
      <c r="F152" s="1902"/>
      <c r="G152" s="1902"/>
      <c r="H152" s="1902"/>
      <c r="I152" s="1902"/>
      <c r="L152" s="563"/>
    </row>
    <row r="153" spans="1:12" ht="17.399999999999999" x14ac:dyDescent="0.3">
      <c r="A153" s="570"/>
      <c r="B153" s="571"/>
      <c r="C153" s="571"/>
      <c r="D153" s="571"/>
      <c r="E153" s="571"/>
      <c r="G153" s="572"/>
      <c r="H153" s="457"/>
      <c r="I153" s="572"/>
      <c r="L153" s="563"/>
    </row>
    <row r="154" spans="1:12" ht="18" thickBot="1" x14ac:dyDescent="0.35">
      <c r="A154" s="570"/>
      <c r="B154" s="571"/>
      <c r="C154" s="571"/>
      <c r="D154" s="571"/>
      <c r="E154" s="571"/>
      <c r="G154" s="572"/>
      <c r="H154" s="457"/>
      <c r="I154" s="572"/>
      <c r="L154" s="563"/>
    </row>
    <row r="155" spans="1:12" ht="39.75" customHeight="1" thickBot="1" x14ac:dyDescent="0.35">
      <c r="A155" s="1903" t="s">
        <v>984</v>
      </c>
      <c r="B155" s="1904"/>
      <c r="C155" s="1904"/>
      <c r="D155" s="1904"/>
      <c r="E155" s="1904"/>
      <c r="F155" s="1905"/>
      <c r="G155" s="1916" t="s">
        <v>985</v>
      </c>
      <c r="H155" s="1917"/>
      <c r="I155" s="1917"/>
      <c r="J155" s="1918"/>
      <c r="K155" s="589"/>
      <c r="L155" s="512"/>
    </row>
    <row r="156" spans="1:12" ht="59.25" customHeight="1" thickBot="1" x14ac:dyDescent="0.35">
      <c r="A156" s="1919" t="s">
        <v>986</v>
      </c>
      <c r="B156" s="1920"/>
      <c r="C156" s="1920"/>
      <c r="D156" s="1920"/>
      <c r="E156" s="1920"/>
      <c r="F156" s="1921"/>
      <c r="G156" s="1922" t="s">
        <v>949</v>
      </c>
      <c r="H156" s="1923"/>
      <c r="I156" s="590" t="s">
        <v>950</v>
      </c>
      <c r="J156" s="590" t="s">
        <v>987</v>
      </c>
      <c r="K156" s="591"/>
      <c r="L156" s="512"/>
    </row>
    <row r="157" spans="1:12" ht="63" customHeight="1" thickBot="1" x14ac:dyDescent="0.35">
      <c r="A157" s="1906" t="s">
        <v>988</v>
      </c>
      <c r="B157" s="1907"/>
      <c r="C157" s="1907"/>
      <c r="D157" s="1907"/>
      <c r="E157" s="1907"/>
      <c r="F157" s="1908"/>
      <c r="G157" s="592" t="s">
        <v>989</v>
      </c>
      <c r="H157" s="593" t="str">
        <f>IFERROR(IF(C144&lt;=1,"SI","NO"),"")</f>
        <v>SI</v>
      </c>
      <c r="I157" s="593" t="str">
        <f>IFERROR(IF(F144&lt;=1,"SI","NO"),"")</f>
        <v>SI</v>
      </c>
      <c r="J157" s="593" t="str">
        <f>IFERROR(IF(J144&lt;=1,"SI","NO"),"")</f>
        <v>SI</v>
      </c>
      <c r="K157" s="594"/>
      <c r="L157" s="512"/>
    </row>
    <row r="158" spans="1:12" ht="50.25" customHeight="1" thickBot="1" x14ac:dyDescent="0.35">
      <c r="A158" s="1924" t="s">
        <v>990</v>
      </c>
      <c r="B158" s="1925"/>
      <c r="C158" s="1925"/>
      <c r="D158" s="1925"/>
      <c r="E158" s="1925"/>
      <c r="F158" s="1926"/>
      <c r="G158" s="592" t="s">
        <v>991</v>
      </c>
      <c r="H158" s="593" t="str">
        <f>IFERROR(IF(AND(C144&gt;=1,C144&lt;5),"SI","NO"),"")</f>
        <v>NO</v>
      </c>
      <c r="I158" s="593" t="str">
        <f>IFERROR(IF(AND(F144&gt;=1,F144&lt;5),"SI","NO"),"")</f>
        <v>NO</v>
      </c>
      <c r="J158" s="593" t="str">
        <f>IFERROR(IF(AND(J144&gt;1,J144&lt;5),"SI","NO"),"")</f>
        <v>NO</v>
      </c>
      <c r="K158" s="594"/>
      <c r="L158" s="512"/>
    </row>
    <row r="159" spans="1:12" ht="54.75" customHeight="1" thickBot="1" x14ac:dyDescent="0.35">
      <c r="A159" s="1906" t="s">
        <v>992</v>
      </c>
      <c r="B159" s="1907"/>
      <c r="C159" s="1907"/>
      <c r="D159" s="1907"/>
      <c r="E159" s="1907"/>
      <c r="F159" s="1908"/>
      <c r="G159" s="592" t="s">
        <v>993</v>
      </c>
      <c r="H159" s="593" t="str">
        <f>IFERROR(IF(C144&gt;5,"SI","NO"),"")</f>
        <v>NO</v>
      </c>
      <c r="I159" s="593" t="str">
        <f>IFERROR(IF(F144&gt;5,"SI","NO"),"")</f>
        <v>NO</v>
      </c>
      <c r="J159" s="593" t="str">
        <f>IFERROR(IF(J144&gt;5,"SI","NO"),"")</f>
        <v>NO</v>
      </c>
      <c r="K159" s="594"/>
      <c r="L159" s="512"/>
    </row>
    <row r="160" spans="1:12" ht="94.5" customHeight="1" x14ac:dyDescent="0.3">
      <c r="A160" s="1909"/>
      <c r="B160" s="1909"/>
      <c r="C160" s="1909"/>
      <c r="D160" s="1909"/>
      <c r="E160" s="1909"/>
      <c r="F160" s="1909"/>
      <c r="G160" s="595" t="s">
        <v>994</v>
      </c>
      <c r="H160" s="596" t="str">
        <f>IF(J144=J141,IF(C141&gt;=F141,"NO","SI"),IF(J144=J142,IF(C142&gt;=F142,"NO","SI"),""))</f>
        <v>NO</v>
      </c>
      <c r="I160" s="596" t="str">
        <f>IF(K144=K141,IF(D141&gt;=G141,"PREDOMINA INCORRECCIONES","PREDOMINA IMPOSIBILIDADES"),IF(K144=K142,IF(D142&gt;=G142,"PREDOMINA INCORRECCIONES","PREDOMINA IMPOSIBILIDADES"),""))</f>
        <v>PREDOMINA INCORRECCIONES</v>
      </c>
      <c r="L160" s="512"/>
    </row>
    <row r="161" spans="1:13" ht="151.5" customHeight="1" x14ac:dyDescent="0.3">
      <c r="B161" s="597"/>
      <c r="C161" s="597"/>
      <c r="D161" s="597"/>
      <c r="E161" s="597"/>
      <c r="F161" s="597"/>
      <c r="G161" s="1910" t="s">
        <v>995</v>
      </c>
      <c r="H161" s="1910"/>
      <c r="I161" s="1910"/>
      <c r="J161" s="1910"/>
      <c r="L161" s="512"/>
    </row>
    <row r="162" spans="1:13" s="462" customFormat="1" ht="23.4" thickBot="1" x14ac:dyDescent="0.35">
      <c r="A162" s="598"/>
      <c r="B162" s="599"/>
      <c r="C162" s="599"/>
      <c r="D162" s="599"/>
      <c r="E162" s="599"/>
      <c r="F162" s="599"/>
      <c r="G162" s="600"/>
      <c r="H162" s="601"/>
      <c r="I162" s="601"/>
      <c r="L162" s="541"/>
    </row>
    <row r="163" spans="1:13" ht="87.75" customHeight="1" thickBot="1" x14ac:dyDescent="0.35">
      <c r="A163" s="1911" t="s">
        <v>996</v>
      </c>
      <c r="B163" s="1911"/>
      <c r="C163" s="1911"/>
      <c r="D163" s="1911"/>
      <c r="E163" s="1911"/>
      <c r="F163" s="602" t="s">
        <v>997</v>
      </c>
      <c r="G163" s="603" t="str">
        <f>IF(J157="SI","Limpia o Sin Salvedades",IF(J158="SI","Con Salvedades",IF(AND(J159="SI",H160="NO"),"Negativa",IF(AND(J159="SI",H160="SI"),"Abstención",""))))</f>
        <v>Limpia o Sin Salvedades</v>
      </c>
      <c r="H163" s="604">
        <f>IF(G163="","",IF(OR(G163="ABSTENCIÓN",G163="NEGATIVA"),0%,IF(G163="LIMPIA O SIN SALVEDADES",100%,75%)))</f>
        <v>1</v>
      </c>
      <c r="I163" s="605"/>
      <c r="J163" s="606"/>
      <c r="K163" s="607"/>
      <c r="L163" s="512"/>
    </row>
    <row r="164" spans="1:13" ht="50.25" customHeight="1" thickBot="1" x14ac:dyDescent="0.35">
      <c r="A164" s="1912"/>
      <c r="B164" s="1912"/>
      <c r="C164" s="1912"/>
      <c r="D164" s="1912"/>
      <c r="E164" s="1912"/>
      <c r="F164" s="608" t="s">
        <v>179</v>
      </c>
      <c r="G164" s="609"/>
      <c r="H164" s="610" t="str">
        <f>IF(H163="","",IF(H163&gt;=75%,"EFICAZ","INEFICAZ"))</f>
        <v>EFICAZ</v>
      </c>
      <c r="I164" s="611"/>
      <c r="J164" s="612"/>
      <c r="K164" s="613"/>
      <c r="L164" s="614"/>
    </row>
    <row r="165" spans="1:13" s="462" customFormat="1" ht="64.5" customHeight="1" x14ac:dyDescent="0.3">
      <c r="A165" s="1902" t="s">
        <v>998</v>
      </c>
      <c r="B165" s="1902"/>
      <c r="C165" s="1902"/>
      <c r="D165" s="1902"/>
      <c r="E165" s="1902"/>
      <c r="F165" s="1902"/>
      <c r="G165" s="1902"/>
      <c r="H165" s="1902"/>
      <c r="I165" s="605"/>
      <c r="J165" s="615"/>
      <c r="K165" s="607"/>
    </row>
    <row r="166" spans="1:13" x14ac:dyDescent="0.3">
      <c r="J166" s="459"/>
      <c r="K166" s="459"/>
    </row>
    <row r="167" spans="1:13" x14ac:dyDescent="0.3">
      <c r="J167" s="459"/>
      <c r="K167" s="459"/>
    </row>
    <row r="168" spans="1:13" x14ac:dyDescent="0.3">
      <c r="A168" s="1850" t="s">
        <v>759</v>
      </c>
      <c r="B168" s="1851"/>
      <c r="C168" s="1851"/>
      <c r="D168" s="1851"/>
      <c r="E168" s="1851"/>
      <c r="F168" s="1851"/>
      <c r="G168" s="1851"/>
      <c r="H168" s="1851"/>
      <c r="I168" s="1851"/>
      <c r="J168" s="1851"/>
      <c r="K168" s="1851"/>
      <c r="L168" s="1851"/>
      <c r="M168" s="1852"/>
    </row>
    <row r="169" spans="1:13" x14ac:dyDescent="0.3">
      <c r="A169" s="1853"/>
      <c r="B169" s="1854"/>
      <c r="C169" s="1854"/>
      <c r="D169" s="1854"/>
      <c r="E169" s="1854"/>
      <c r="F169" s="1854"/>
      <c r="G169" s="1854"/>
      <c r="H169" s="1854"/>
      <c r="I169" s="1854"/>
      <c r="J169" s="1854"/>
      <c r="K169" s="1854"/>
      <c r="L169" s="1854"/>
      <c r="M169" s="1855"/>
    </row>
    <row r="170" spans="1:13" x14ac:dyDescent="0.3">
      <c r="A170" s="1856"/>
      <c r="B170" s="1857"/>
      <c r="C170" s="1857"/>
      <c r="D170" s="1857"/>
      <c r="E170" s="1857"/>
      <c r="F170" s="1857"/>
      <c r="G170" s="1857"/>
      <c r="H170" s="1857"/>
      <c r="I170" s="1857"/>
      <c r="J170" s="1857"/>
      <c r="K170" s="1857"/>
      <c r="L170" s="1857"/>
      <c r="M170" s="1858"/>
    </row>
    <row r="171" spans="1:13" x14ac:dyDescent="0.3">
      <c r="A171" s="1835" t="s">
        <v>760</v>
      </c>
      <c r="B171" s="1836"/>
      <c r="C171" s="1836"/>
      <c r="D171" s="1836"/>
      <c r="E171" s="1836"/>
      <c r="F171" s="1836"/>
      <c r="G171" s="1836"/>
      <c r="H171" s="1836"/>
      <c r="I171" s="1836"/>
      <c r="J171" s="1837"/>
      <c r="K171" s="1832" t="s">
        <v>761</v>
      </c>
      <c r="L171" s="1832"/>
      <c r="M171" s="1832"/>
    </row>
    <row r="172" spans="1:13" x14ac:dyDescent="0.3">
      <c r="A172" s="1835" t="s">
        <v>762</v>
      </c>
      <c r="B172" s="1836"/>
      <c r="C172" s="1836"/>
      <c r="D172" s="1836"/>
      <c r="E172" s="1836"/>
      <c r="F172" s="1836"/>
      <c r="G172" s="1836"/>
      <c r="H172" s="1836"/>
      <c r="I172" s="1836"/>
      <c r="J172" s="1836"/>
      <c r="K172" s="1836"/>
      <c r="L172" s="1836"/>
      <c r="M172" s="1837"/>
    </row>
    <row r="173" spans="1:13" x14ac:dyDescent="0.3">
      <c r="A173" s="1838" t="s">
        <v>763</v>
      </c>
      <c r="B173" s="1839"/>
      <c r="C173" s="1839"/>
      <c r="D173" s="1839"/>
      <c r="E173" s="1840"/>
      <c r="F173" s="1844" t="s">
        <v>764</v>
      </c>
      <c r="G173" s="1845"/>
      <c r="H173" s="1845"/>
      <c r="I173" s="1845"/>
      <c r="J173" s="1846"/>
      <c r="K173" s="1832" t="s">
        <v>765</v>
      </c>
      <c r="L173" s="1832"/>
      <c r="M173" s="1832"/>
    </row>
    <row r="174" spans="1:13" x14ac:dyDescent="0.3">
      <c r="A174" s="1841"/>
      <c r="B174" s="1842"/>
      <c r="C174" s="1842"/>
      <c r="D174" s="1842"/>
      <c r="E174" s="1843"/>
      <c r="F174" s="1847"/>
      <c r="G174" s="1848"/>
      <c r="H174" s="1848"/>
      <c r="I174" s="1848"/>
      <c r="J174" s="1849"/>
      <c r="K174" s="1832"/>
      <c r="L174" s="1832"/>
      <c r="M174" s="1832"/>
    </row>
    <row r="175" spans="1:13" x14ac:dyDescent="0.3">
      <c r="A175" s="1835" t="s">
        <v>766</v>
      </c>
      <c r="B175" s="1836"/>
      <c r="C175" s="1836"/>
      <c r="D175" s="1836"/>
      <c r="E175" s="1836"/>
      <c r="F175" s="1836"/>
      <c r="G175" s="1836"/>
      <c r="H175" s="1836"/>
      <c r="I175" s="1836"/>
      <c r="J175" s="1836"/>
      <c r="K175" s="1836"/>
      <c r="L175" s="1836"/>
      <c r="M175" s="1837"/>
    </row>
    <row r="176" spans="1:13" x14ac:dyDescent="0.3">
      <c r="A176" s="1832" t="s">
        <v>763</v>
      </c>
      <c r="B176" s="1832"/>
      <c r="C176" s="1832"/>
      <c r="D176" s="1832"/>
      <c r="E176" s="1832"/>
      <c r="F176" s="1833" t="s">
        <v>767</v>
      </c>
      <c r="G176" s="1834"/>
      <c r="H176" s="1835" t="s">
        <v>768</v>
      </c>
      <c r="I176" s="1836"/>
      <c r="J176" s="1837"/>
      <c r="K176" s="1832" t="s">
        <v>769</v>
      </c>
      <c r="L176" s="1832"/>
      <c r="M176" s="1832"/>
    </row>
    <row r="177" spans="10:11" x14ac:dyDescent="0.3">
      <c r="J177" s="459"/>
      <c r="K177" s="459"/>
    </row>
    <row r="178" spans="10:11" x14ac:dyDescent="0.3">
      <c r="J178" s="459"/>
      <c r="K178" s="459"/>
    </row>
    <row r="179" spans="10:11" x14ac:dyDescent="0.3">
      <c r="J179" s="459"/>
      <c r="K179" s="459"/>
    </row>
    <row r="180" spans="10:11" x14ac:dyDescent="0.3">
      <c r="J180" s="459"/>
      <c r="K180" s="459"/>
    </row>
    <row r="181" spans="10:11" x14ac:dyDescent="0.3">
      <c r="J181" s="459"/>
      <c r="K181" s="459"/>
    </row>
    <row r="182" spans="10:11" x14ac:dyDescent="0.3">
      <c r="J182" s="459"/>
      <c r="K182" s="459"/>
    </row>
    <row r="183" spans="10:11" x14ac:dyDescent="0.3">
      <c r="J183" s="459"/>
      <c r="K183" s="459"/>
    </row>
    <row r="184" spans="10:11" x14ac:dyDescent="0.3">
      <c r="J184" s="459"/>
      <c r="K184" s="459"/>
    </row>
    <row r="185" spans="10:11" x14ac:dyDescent="0.3">
      <c r="J185" s="459"/>
      <c r="K185" s="459"/>
    </row>
    <row r="186" spans="10:11" x14ac:dyDescent="0.3">
      <c r="J186" s="459"/>
      <c r="K186" s="459"/>
    </row>
    <row r="187" spans="10:11" x14ac:dyDescent="0.3">
      <c r="J187" s="459"/>
      <c r="K187" s="459"/>
    </row>
    <row r="188" spans="10:11" x14ac:dyDescent="0.3">
      <c r="J188" s="459"/>
      <c r="K188" s="459"/>
    </row>
    <row r="189" spans="10:11" ht="21.75" customHeight="1" x14ac:dyDescent="0.3">
      <c r="J189" s="459"/>
      <c r="K189" s="459"/>
    </row>
    <row r="190" spans="10:11" x14ac:dyDescent="0.3">
      <c r="J190" s="459"/>
      <c r="K190" s="459"/>
    </row>
    <row r="191" spans="10:11" x14ac:dyDescent="0.3">
      <c r="J191" s="459"/>
      <c r="K191" s="459"/>
    </row>
    <row r="192" spans="10:11" x14ac:dyDescent="0.3">
      <c r="J192" s="459"/>
      <c r="K192" s="459"/>
    </row>
    <row r="193" spans="1:11" x14ac:dyDescent="0.25">
      <c r="A193" s="616" t="s">
        <v>999</v>
      </c>
      <c r="B193" s="617" t="s">
        <v>925</v>
      </c>
      <c r="J193" s="459"/>
      <c r="K193" s="459"/>
    </row>
    <row r="194" spans="1:11" x14ac:dyDescent="0.3">
      <c r="A194" s="616"/>
      <c r="B194" s="618" t="s">
        <v>928</v>
      </c>
      <c r="J194" s="459"/>
      <c r="K194" s="459"/>
    </row>
    <row r="195" spans="1:11" x14ac:dyDescent="0.3">
      <c r="A195" s="457" t="s">
        <v>932</v>
      </c>
      <c r="B195" s="618" t="s">
        <v>1000</v>
      </c>
      <c r="J195" s="459"/>
      <c r="K195" s="459"/>
    </row>
    <row r="196" spans="1:11" x14ac:dyDescent="0.3">
      <c r="A196" s="457" t="s">
        <v>934</v>
      </c>
      <c r="B196" s="618" t="s">
        <v>1001</v>
      </c>
      <c r="J196" s="459"/>
      <c r="K196" s="459"/>
    </row>
    <row r="197" spans="1:11" ht="27.6" x14ac:dyDescent="0.3">
      <c r="A197" s="457" t="s">
        <v>939</v>
      </c>
      <c r="B197" s="618" t="s">
        <v>1002</v>
      </c>
      <c r="J197" s="459"/>
      <c r="K197" s="459"/>
    </row>
    <row r="198" spans="1:11" x14ac:dyDescent="0.3">
      <c r="A198" s="457" t="s">
        <v>1003</v>
      </c>
      <c r="B198" s="618" t="s">
        <v>1004</v>
      </c>
      <c r="J198" s="459"/>
      <c r="K198" s="459"/>
    </row>
    <row r="199" spans="1:11" x14ac:dyDescent="0.3">
      <c r="J199" s="459"/>
      <c r="K199" s="459"/>
    </row>
    <row r="200" spans="1:11" x14ac:dyDescent="0.3">
      <c r="J200" s="459"/>
      <c r="K200" s="459"/>
    </row>
    <row r="201" spans="1:11" x14ac:dyDescent="0.3">
      <c r="J201" s="459"/>
      <c r="K201" s="459"/>
    </row>
    <row r="202" spans="1:11" x14ac:dyDescent="0.3">
      <c r="J202" s="459"/>
      <c r="K202" s="459"/>
    </row>
    <row r="203" spans="1:11" x14ac:dyDescent="0.3">
      <c r="J203" s="459"/>
      <c r="K203" s="459"/>
    </row>
    <row r="204" spans="1:11" x14ac:dyDescent="0.3">
      <c r="J204" s="459"/>
      <c r="K204" s="459"/>
    </row>
    <row r="205" spans="1:11" x14ac:dyDescent="0.3">
      <c r="J205" s="459"/>
      <c r="K205" s="459"/>
    </row>
    <row r="206" spans="1:11" x14ac:dyDescent="0.3">
      <c r="J206" s="459"/>
      <c r="K206" s="459"/>
    </row>
    <row r="207" spans="1:11" x14ac:dyDescent="0.3">
      <c r="J207" s="459"/>
      <c r="K207" s="459"/>
    </row>
    <row r="208" spans="1:11" x14ac:dyDescent="0.3">
      <c r="J208" s="459"/>
      <c r="K208" s="459"/>
    </row>
    <row r="209" spans="10:11" x14ac:dyDescent="0.3">
      <c r="J209" s="459"/>
      <c r="K209" s="459"/>
    </row>
    <row r="210" spans="10:11" x14ac:dyDescent="0.3">
      <c r="J210" s="459"/>
      <c r="K210" s="459"/>
    </row>
    <row r="211" spans="10:11" x14ac:dyDescent="0.3">
      <c r="J211" s="459"/>
      <c r="K211" s="459"/>
    </row>
    <row r="212" spans="10:11" x14ac:dyDescent="0.3">
      <c r="J212" s="459"/>
      <c r="K212" s="459"/>
    </row>
    <row r="213" spans="10:11" x14ac:dyDescent="0.3">
      <c r="J213" s="459"/>
      <c r="K213" s="459"/>
    </row>
    <row r="214" spans="10:11" x14ac:dyDescent="0.3">
      <c r="J214" s="459"/>
      <c r="K214" s="459"/>
    </row>
    <row r="215" spans="10:11" x14ac:dyDescent="0.3">
      <c r="J215" s="459"/>
      <c r="K215" s="459"/>
    </row>
    <row r="216" spans="10:11" x14ac:dyDescent="0.3">
      <c r="J216" s="459"/>
      <c r="K216" s="459"/>
    </row>
    <row r="217" spans="10:11" x14ac:dyDescent="0.3">
      <c r="J217" s="459"/>
      <c r="K217" s="459"/>
    </row>
    <row r="218" spans="10:11" x14ac:dyDescent="0.3">
      <c r="J218" s="459"/>
      <c r="K218" s="459"/>
    </row>
    <row r="219" spans="10:11" x14ac:dyDescent="0.3">
      <c r="J219" s="459"/>
      <c r="K219" s="459"/>
    </row>
    <row r="220" spans="10:11" x14ac:dyDescent="0.3">
      <c r="J220" s="459"/>
      <c r="K220" s="459"/>
    </row>
    <row r="221" spans="10:11" x14ac:dyDescent="0.3">
      <c r="J221" s="459"/>
      <c r="K221" s="459"/>
    </row>
    <row r="222" spans="10:11" x14ac:dyDescent="0.3">
      <c r="J222" s="459"/>
      <c r="K222" s="459"/>
    </row>
    <row r="223" spans="10:11" x14ac:dyDescent="0.3">
      <c r="J223" s="459"/>
      <c r="K223" s="459"/>
    </row>
    <row r="224" spans="10:11" x14ac:dyDescent="0.3">
      <c r="J224" s="459"/>
      <c r="K224" s="459"/>
    </row>
    <row r="225" spans="10:11" x14ac:dyDescent="0.3">
      <c r="J225" s="459"/>
      <c r="K225" s="459"/>
    </row>
    <row r="226" spans="10:11" x14ac:dyDescent="0.3">
      <c r="J226" s="459"/>
      <c r="K226" s="459"/>
    </row>
    <row r="227" spans="10:11" x14ac:dyDescent="0.3">
      <c r="J227" s="459"/>
      <c r="K227" s="459"/>
    </row>
    <row r="228" spans="10:11" x14ac:dyDescent="0.3">
      <c r="J228" s="459"/>
      <c r="K228" s="459"/>
    </row>
    <row r="229" spans="10:11" x14ac:dyDescent="0.3">
      <c r="J229" s="459"/>
      <c r="K229" s="459"/>
    </row>
    <row r="230" spans="10:11" x14ac:dyDescent="0.3">
      <c r="J230" s="459"/>
      <c r="K230" s="459"/>
    </row>
    <row r="231" spans="10:11" x14ac:dyDescent="0.3">
      <c r="J231" s="459"/>
      <c r="K231" s="459"/>
    </row>
    <row r="232" spans="10:11" x14ac:dyDescent="0.3">
      <c r="J232" s="459"/>
      <c r="K232" s="459"/>
    </row>
    <row r="233" spans="10:11" x14ac:dyDescent="0.3">
      <c r="J233" s="459"/>
      <c r="K233" s="459"/>
    </row>
    <row r="234" spans="10:11" x14ac:dyDescent="0.3">
      <c r="J234" s="459"/>
      <c r="K234" s="459"/>
    </row>
    <row r="235" spans="10:11" x14ac:dyDescent="0.3">
      <c r="J235" s="459"/>
      <c r="K235" s="459"/>
    </row>
    <row r="236" spans="10:11" x14ac:dyDescent="0.3">
      <c r="J236" s="459"/>
      <c r="K236" s="459"/>
    </row>
    <row r="237" spans="10:11" x14ac:dyDescent="0.3">
      <c r="J237" s="459"/>
      <c r="K237" s="459"/>
    </row>
    <row r="238" spans="10:11" x14ac:dyDescent="0.3">
      <c r="J238" s="459"/>
      <c r="K238" s="459"/>
    </row>
    <row r="239" spans="10:11" x14ac:dyDescent="0.3">
      <c r="J239" s="459"/>
      <c r="K239" s="459"/>
    </row>
    <row r="240" spans="10:11" x14ac:dyDescent="0.3">
      <c r="J240" s="459"/>
      <c r="K240" s="459"/>
    </row>
    <row r="241" spans="10:11" x14ac:dyDescent="0.3">
      <c r="J241" s="459"/>
      <c r="K241" s="459"/>
    </row>
    <row r="242" spans="10:11" x14ac:dyDescent="0.3">
      <c r="J242" s="459"/>
      <c r="K242" s="459"/>
    </row>
    <row r="243" spans="10:11" x14ac:dyDescent="0.3">
      <c r="J243" s="459"/>
      <c r="K243" s="459"/>
    </row>
    <row r="244" spans="10:11" x14ac:dyDescent="0.3">
      <c r="J244" s="459"/>
      <c r="K244" s="459"/>
    </row>
    <row r="245" spans="10:11" x14ac:dyDescent="0.3">
      <c r="J245" s="459"/>
      <c r="K245" s="459"/>
    </row>
    <row r="246" spans="10:11" x14ac:dyDescent="0.3">
      <c r="J246" s="459"/>
      <c r="K246" s="459"/>
    </row>
    <row r="247" spans="10:11" x14ac:dyDescent="0.3">
      <c r="J247" s="459"/>
      <c r="K247" s="459"/>
    </row>
    <row r="248" spans="10:11" x14ac:dyDescent="0.3">
      <c r="J248" s="459"/>
      <c r="K248" s="459"/>
    </row>
    <row r="249" spans="10:11" x14ac:dyDescent="0.3">
      <c r="J249" s="459"/>
      <c r="K249" s="459"/>
    </row>
    <row r="250" spans="10:11" x14ac:dyDescent="0.3">
      <c r="J250" s="459"/>
      <c r="K250" s="459"/>
    </row>
    <row r="251" spans="10:11" x14ac:dyDescent="0.3">
      <c r="J251" s="459"/>
      <c r="K251" s="459"/>
    </row>
    <row r="252" spans="10:11" x14ac:dyDescent="0.3">
      <c r="J252" s="459"/>
      <c r="K252" s="459"/>
    </row>
    <row r="253" spans="10:11" x14ac:dyDescent="0.3">
      <c r="J253" s="459"/>
      <c r="K253" s="459"/>
    </row>
    <row r="254" spans="10:11" x14ac:dyDescent="0.3">
      <c r="J254" s="459"/>
      <c r="K254" s="459"/>
    </row>
    <row r="255" spans="10:11" x14ac:dyDescent="0.3">
      <c r="J255" s="459"/>
      <c r="K255" s="459"/>
    </row>
    <row r="256" spans="10:11" x14ac:dyDescent="0.3">
      <c r="J256" s="459"/>
      <c r="K256" s="459"/>
    </row>
    <row r="257" spans="10:11" x14ac:dyDescent="0.3">
      <c r="J257" s="459"/>
      <c r="K257" s="459"/>
    </row>
    <row r="258" spans="10:11" x14ac:dyDescent="0.3">
      <c r="J258" s="459"/>
      <c r="K258" s="459"/>
    </row>
    <row r="259" spans="10:11" x14ac:dyDescent="0.3">
      <c r="J259" s="459"/>
      <c r="K259" s="459"/>
    </row>
    <row r="260" spans="10:11" x14ac:dyDescent="0.3">
      <c r="J260" s="459"/>
      <c r="K260" s="459"/>
    </row>
    <row r="261" spans="10:11" x14ac:dyDescent="0.3">
      <c r="J261" s="459"/>
      <c r="K261" s="459"/>
    </row>
    <row r="262" spans="10:11" x14ac:dyDescent="0.3">
      <c r="J262" s="459"/>
      <c r="K262" s="459"/>
    </row>
    <row r="263" spans="10:11" x14ac:dyDescent="0.3">
      <c r="J263" s="459"/>
      <c r="K263" s="459"/>
    </row>
    <row r="264" spans="10:11" x14ac:dyDescent="0.3">
      <c r="J264" s="459"/>
      <c r="K264" s="459"/>
    </row>
    <row r="265" spans="10:11" x14ac:dyDescent="0.3">
      <c r="J265" s="459"/>
      <c r="K265" s="459"/>
    </row>
    <row r="266" spans="10:11" x14ac:dyDescent="0.3">
      <c r="J266" s="459"/>
      <c r="K266" s="459"/>
    </row>
    <row r="267" spans="10:11" x14ac:dyDescent="0.3">
      <c r="J267" s="459"/>
      <c r="K267" s="459"/>
    </row>
    <row r="268" spans="10:11" x14ac:dyDescent="0.3">
      <c r="J268" s="459"/>
      <c r="K268" s="459"/>
    </row>
    <row r="269" spans="10:11" x14ac:dyDescent="0.3">
      <c r="J269" s="459"/>
      <c r="K269" s="459"/>
    </row>
    <row r="270" spans="10:11" x14ac:dyDescent="0.3">
      <c r="J270" s="459"/>
      <c r="K270" s="459"/>
    </row>
    <row r="271" spans="10:11" x14ac:dyDescent="0.3">
      <c r="J271" s="459"/>
      <c r="K271" s="459"/>
    </row>
    <row r="272" spans="10:11" x14ac:dyDescent="0.3">
      <c r="J272" s="459"/>
      <c r="K272" s="459"/>
    </row>
    <row r="273" spans="10:11" x14ac:dyDescent="0.3">
      <c r="J273" s="459"/>
      <c r="K273" s="459"/>
    </row>
    <row r="274" spans="10:11" x14ac:dyDescent="0.3">
      <c r="J274" s="459"/>
      <c r="K274" s="459"/>
    </row>
    <row r="275" spans="10:11" x14ac:dyDescent="0.3">
      <c r="J275" s="459"/>
      <c r="K275" s="459"/>
    </row>
    <row r="276" spans="10:11" x14ac:dyDescent="0.3">
      <c r="J276" s="459"/>
      <c r="K276" s="459"/>
    </row>
    <row r="277" spans="10:11" x14ac:dyDescent="0.3">
      <c r="J277" s="459"/>
      <c r="K277" s="459"/>
    </row>
    <row r="278" spans="10:11" x14ac:dyDescent="0.3">
      <c r="J278" s="459"/>
      <c r="K278" s="459"/>
    </row>
    <row r="279" spans="10:11" x14ac:dyDescent="0.3">
      <c r="J279" s="459"/>
      <c r="K279" s="459"/>
    </row>
    <row r="280" spans="10:11" x14ac:dyDescent="0.3">
      <c r="J280" s="459"/>
      <c r="K280" s="459"/>
    </row>
    <row r="281" spans="10:11" x14ac:dyDescent="0.3">
      <c r="J281" s="459"/>
      <c r="K281" s="459"/>
    </row>
    <row r="282" spans="10:11" x14ac:dyDescent="0.3">
      <c r="J282" s="459"/>
      <c r="K282" s="459"/>
    </row>
    <row r="283" spans="10:11" x14ac:dyDescent="0.3">
      <c r="J283" s="459"/>
      <c r="K283" s="459"/>
    </row>
    <row r="284" spans="10:11" x14ac:dyDescent="0.3">
      <c r="J284" s="459"/>
      <c r="K284" s="459"/>
    </row>
    <row r="285" spans="10:11" x14ac:dyDescent="0.3">
      <c r="J285" s="459"/>
      <c r="K285" s="459"/>
    </row>
    <row r="286" spans="10:11" x14ac:dyDescent="0.3">
      <c r="J286" s="459"/>
      <c r="K286" s="459"/>
    </row>
    <row r="287" spans="10:11" x14ac:dyDescent="0.3">
      <c r="J287" s="459"/>
      <c r="K287" s="459"/>
    </row>
    <row r="288" spans="10:11" x14ac:dyDescent="0.3">
      <c r="J288" s="459"/>
      <c r="K288" s="459"/>
    </row>
    <row r="289" spans="10:11" x14ac:dyDescent="0.3">
      <c r="J289" s="459"/>
      <c r="K289" s="459"/>
    </row>
    <row r="290" spans="10:11" x14ac:dyDescent="0.3">
      <c r="J290" s="459"/>
      <c r="K290" s="459"/>
    </row>
    <row r="291" spans="10:11" x14ac:dyDescent="0.3">
      <c r="J291" s="459"/>
      <c r="K291" s="459"/>
    </row>
    <row r="292" spans="10:11" x14ac:dyDescent="0.3">
      <c r="J292" s="459"/>
      <c r="K292" s="459"/>
    </row>
    <row r="293" spans="10:11" x14ac:dyDescent="0.3">
      <c r="J293" s="459"/>
      <c r="K293" s="459"/>
    </row>
    <row r="294" spans="10:11" x14ac:dyDescent="0.3">
      <c r="J294" s="459"/>
      <c r="K294" s="459"/>
    </row>
    <row r="295" spans="10:11" x14ac:dyDescent="0.3">
      <c r="J295" s="459"/>
      <c r="K295" s="459"/>
    </row>
    <row r="296" spans="10:11" x14ac:dyDescent="0.3">
      <c r="J296" s="459"/>
      <c r="K296" s="459"/>
    </row>
    <row r="297" spans="10:11" x14ac:dyDescent="0.3">
      <c r="J297" s="459"/>
      <c r="K297" s="459"/>
    </row>
    <row r="298" spans="10:11" x14ac:dyDescent="0.3">
      <c r="J298" s="459"/>
      <c r="K298" s="459"/>
    </row>
    <row r="299" spans="10:11" x14ac:dyDescent="0.3">
      <c r="J299" s="459"/>
      <c r="K299" s="459"/>
    </row>
    <row r="300" spans="10:11" x14ac:dyDescent="0.3">
      <c r="J300" s="459"/>
      <c r="K300" s="459"/>
    </row>
    <row r="301" spans="10:11" x14ac:dyDescent="0.3">
      <c r="J301" s="459"/>
      <c r="K301" s="459"/>
    </row>
    <row r="302" spans="10:11" x14ac:dyDescent="0.3">
      <c r="J302" s="459"/>
      <c r="K302" s="459"/>
    </row>
    <row r="303" spans="10:11" x14ac:dyDescent="0.3">
      <c r="J303" s="459"/>
      <c r="K303" s="459"/>
    </row>
    <row r="304" spans="10:11" x14ac:dyDescent="0.3">
      <c r="J304" s="459"/>
      <c r="K304" s="459"/>
    </row>
    <row r="305" spans="10:11" x14ac:dyDescent="0.3">
      <c r="J305" s="459"/>
      <c r="K305" s="459"/>
    </row>
    <row r="306" spans="10:11" x14ac:dyDescent="0.3">
      <c r="J306" s="459"/>
      <c r="K306" s="459"/>
    </row>
    <row r="307" spans="10:11" x14ac:dyDescent="0.3">
      <c r="J307" s="459"/>
      <c r="K307" s="459"/>
    </row>
    <row r="308" spans="10:11" x14ac:dyDescent="0.3">
      <c r="J308" s="459"/>
      <c r="K308" s="459"/>
    </row>
    <row r="309" spans="10:11" x14ac:dyDescent="0.3">
      <c r="J309" s="459"/>
      <c r="K309" s="459"/>
    </row>
    <row r="310" spans="10:11" x14ac:dyDescent="0.3">
      <c r="J310" s="459"/>
      <c r="K310" s="459"/>
    </row>
    <row r="311" spans="10:11" x14ac:dyDescent="0.3">
      <c r="J311" s="459"/>
      <c r="K311" s="459"/>
    </row>
    <row r="312" spans="10:11" x14ac:dyDescent="0.3">
      <c r="J312" s="459"/>
      <c r="K312" s="459"/>
    </row>
    <row r="313" spans="10:11" x14ac:dyDescent="0.3">
      <c r="J313" s="459"/>
      <c r="K313" s="459"/>
    </row>
    <row r="314" spans="10:11" x14ac:dyDescent="0.3">
      <c r="J314" s="459"/>
      <c r="K314" s="459"/>
    </row>
    <row r="315" spans="10:11" x14ac:dyDescent="0.3">
      <c r="J315" s="459"/>
      <c r="K315" s="459"/>
    </row>
    <row r="316" spans="10:11" x14ac:dyDescent="0.3">
      <c r="J316" s="459"/>
      <c r="K316" s="459"/>
    </row>
    <row r="317" spans="10:11" x14ac:dyDescent="0.3">
      <c r="J317" s="459"/>
      <c r="K317" s="459"/>
    </row>
    <row r="318" spans="10:11" x14ac:dyDescent="0.3">
      <c r="J318" s="459"/>
      <c r="K318" s="459"/>
    </row>
    <row r="319" spans="10:11" x14ac:dyDescent="0.3">
      <c r="J319" s="459"/>
      <c r="K319" s="459"/>
    </row>
    <row r="320" spans="10:11" x14ac:dyDescent="0.3">
      <c r="J320" s="459"/>
      <c r="K320" s="459"/>
    </row>
    <row r="321" spans="10:11" x14ac:dyDescent="0.3">
      <c r="J321" s="459"/>
      <c r="K321" s="459"/>
    </row>
    <row r="322" spans="10:11" x14ac:dyDescent="0.3">
      <c r="J322" s="459"/>
      <c r="K322" s="459"/>
    </row>
    <row r="323" spans="10:11" x14ac:dyDescent="0.3">
      <c r="J323" s="459"/>
      <c r="K323" s="459"/>
    </row>
    <row r="324" spans="10:11" x14ac:dyDescent="0.3">
      <c r="J324" s="459"/>
      <c r="K324" s="459"/>
    </row>
    <row r="325" spans="10:11" x14ac:dyDescent="0.3">
      <c r="J325" s="459"/>
      <c r="K325" s="459"/>
    </row>
    <row r="326" spans="10:11" x14ac:dyDescent="0.3">
      <c r="J326" s="459"/>
      <c r="K326" s="459"/>
    </row>
    <row r="327" spans="10:11" x14ac:dyDescent="0.3">
      <c r="J327" s="459"/>
      <c r="K327" s="459"/>
    </row>
    <row r="328" spans="10:11" x14ac:dyDescent="0.3">
      <c r="J328" s="459"/>
      <c r="K328" s="459"/>
    </row>
    <row r="329" spans="10:11" x14ac:dyDescent="0.3">
      <c r="J329" s="459"/>
      <c r="K329" s="459"/>
    </row>
    <row r="330" spans="10:11" x14ac:dyDescent="0.3">
      <c r="J330" s="459"/>
      <c r="K330" s="459"/>
    </row>
    <row r="331" spans="10:11" x14ac:dyDescent="0.3">
      <c r="J331" s="459"/>
      <c r="K331" s="459"/>
    </row>
    <row r="332" spans="10:11" x14ac:dyDescent="0.3">
      <c r="J332" s="459"/>
      <c r="K332" s="459"/>
    </row>
    <row r="333" spans="10:11" x14ac:dyDescent="0.3">
      <c r="J333" s="459"/>
      <c r="K333" s="459"/>
    </row>
    <row r="334" spans="10:11" x14ac:dyDescent="0.3">
      <c r="J334" s="459"/>
      <c r="K334" s="459"/>
    </row>
    <row r="335" spans="10:11" x14ac:dyDescent="0.3">
      <c r="J335" s="459"/>
      <c r="K335" s="459"/>
    </row>
    <row r="336" spans="10:11" x14ac:dyDescent="0.3">
      <c r="J336" s="459"/>
      <c r="K336" s="459"/>
    </row>
    <row r="337" spans="10:11" x14ac:dyDescent="0.3">
      <c r="J337" s="459"/>
      <c r="K337" s="459"/>
    </row>
    <row r="338" spans="10:11" x14ac:dyDescent="0.3">
      <c r="J338" s="459"/>
      <c r="K338" s="459"/>
    </row>
    <row r="339" spans="10:11" x14ac:dyDescent="0.3">
      <c r="J339" s="459"/>
      <c r="K339" s="459"/>
    </row>
    <row r="340" spans="10:11" x14ac:dyDescent="0.3">
      <c r="J340" s="459"/>
      <c r="K340" s="459"/>
    </row>
    <row r="341" spans="10:11" x14ac:dyDescent="0.3">
      <c r="J341" s="459"/>
      <c r="K341" s="459"/>
    </row>
    <row r="342" spans="10:11" x14ac:dyDescent="0.3">
      <c r="J342" s="459"/>
      <c r="K342" s="459"/>
    </row>
    <row r="343" spans="10:11" x14ac:dyDescent="0.3">
      <c r="J343" s="459"/>
      <c r="K343" s="459"/>
    </row>
    <row r="344" spans="10:11" x14ac:dyDescent="0.3">
      <c r="J344" s="459"/>
      <c r="K344" s="459"/>
    </row>
    <row r="345" spans="10:11" x14ac:dyDescent="0.3">
      <c r="J345" s="459"/>
      <c r="K345" s="459"/>
    </row>
    <row r="346" spans="10:11" x14ac:dyDescent="0.3">
      <c r="J346" s="459"/>
      <c r="K346" s="459"/>
    </row>
    <row r="347" spans="10:11" x14ac:dyDescent="0.3">
      <c r="J347" s="459"/>
      <c r="K347" s="459"/>
    </row>
    <row r="348" spans="10:11" x14ac:dyDescent="0.3">
      <c r="J348" s="459"/>
      <c r="K348" s="459"/>
    </row>
    <row r="349" spans="10:11" x14ac:dyDescent="0.3">
      <c r="J349" s="459"/>
      <c r="K349" s="459"/>
    </row>
    <row r="350" spans="10:11" x14ac:dyDescent="0.3">
      <c r="J350" s="459"/>
      <c r="K350" s="459"/>
    </row>
    <row r="351" spans="10:11" x14ac:dyDescent="0.3">
      <c r="J351" s="459"/>
      <c r="K351" s="459"/>
    </row>
    <row r="352" spans="10:11" x14ac:dyDescent="0.3">
      <c r="J352" s="459"/>
      <c r="K352" s="459"/>
    </row>
    <row r="353" spans="10:11" x14ac:dyDescent="0.3">
      <c r="J353" s="459"/>
      <c r="K353" s="459"/>
    </row>
    <row r="354" spans="10:11" x14ac:dyDescent="0.3">
      <c r="J354" s="459"/>
      <c r="K354" s="459"/>
    </row>
    <row r="355" spans="10:11" x14ac:dyDescent="0.3">
      <c r="J355" s="459"/>
      <c r="K355" s="459"/>
    </row>
    <row r="356" spans="10:11" x14ac:dyDescent="0.3">
      <c r="J356" s="459"/>
      <c r="K356" s="459"/>
    </row>
    <row r="357" spans="10:11" x14ac:dyDescent="0.3">
      <c r="J357" s="459"/>
      <c r="K357" s="459"/>
    </row>
    <row r="358" spans="10:11" x14ac:dyDescent="0.3">
      <c r="J358" s="459"/>
      <c r="K358" s="459"/>
    </row>
    <row r="359" spans="10:11" x14ac:dyDescent="0.3">
      <c r="J359" s="459"/>
      <c r="K359" s="459"/>
    </row>
    <row r="360" spans="10:11" x14ac:dyDescent="0.3">
      <c r="J360" s="459"/>
      <c r="K360" s="459"/>
    </row>
    <row r="361" spans="10:11" x14ac:dyDescent="0.3">
      <c r="J361" s="459"/>
      <c r="K361" s="459"/>
    </row>
    <row r="362" spans="10:11" x14ac:dyDescent="0.3">
      <c r="J362" s="459"/>
      <c r="K362" s="459"/>
    </row>
    <row r="363" spans="10:11" x14ac:dyDescent="0.3">
      <c r="J363" s="459"/>
      <c r="K363" s="459"/>
    </row>
    <row r="364" spans="10:11" x14ac:dyDescent="0.3">
      <c r="J364" s="459"/>
      <c r="K364" s="459"/>
    </row>
    <row r="365" spans="10:11" x14ac:dyDescent="0.3">
      <c r="J365" s="459"/>
      <c r="K365" s="459"/>
    </row>
    <row r="366" spans="10:11" x14ac:dyDescent="0.3">
      <c r="J366" s="459"/>
      <c r="K366" s="459"/>
    </row>
    <row r="367" spans="10:11" x14ac:dyDescent="0.3">
      <c r="J367" s="459"/>
      <c r="K367" s="459"/>
    </row>
    <row r="368" spans="10:11" x14ac:dyDescent="0.3">
      <c r="J368" s="459"/>
      <c r="K368" s="459"/>
    </row>
    <row r="369" spans="10:11" x14ac:dyDescent="0.3">
      <c r="J369" s="459"/>
      <c r="K369" s="459"/>
    </row>
    <row r="370" spans="10:11" x14ac:dyDescent="0.3">
      <c r="J370" s="459"/>
      <c r="K370" s="459"/>
    </row>
    <row r="371" spans="10:11" x14ac:dyDescent="0.3">
      <c r="J371" s="459"/>
      <c r="K371" s="459"/>
    </row>
    <row r="372" spans="10:11" x14ac:dyDescent="0.3">
      <c r="J372" s="459"/>
      <c r="K372" s="459"/>
    </row>
    <row r="373" spans="10:11" x14ac:dyDescent="0.3">
      <c r="J373" s="459"/>
      <c r="K373" s="459"/>
    </row>
    <row r="374" spans="10:11" x14ac:dyDescent="0.3">
      <c r="J374" s="459"/>
      <c r="K374" s="459"/>
    </row>
    <row r="375" spans="10:11" x14ac:dyDescent="0.3">
      <c r="J375" s="459"/>
      <c r="K375" s="459"/>
    </row>
    <row r="376" spans="10:11" x14ac:dyDescent="0.3">
      <c r="J376" s="459"/>
      <c r="K376" s="459"/>
    </row>
    <row r="377" spans="10:11" x14ac:dyDescent="0.3">
      <c r="J377" s="459"/>
      <c r="K377" s="459"/>
    </row>
    <row r="378" spans="10:11" x14ac:dyDescent="0.3">
      <c r="J378" s="459"/>
      <c r="K378" s="459"/>
    </row>
    <row r="379" spans="10:11" x14ac:dyDescent="0.3">
      <c r="J379" s="459"/>
      <c r="K379" s="459"/>
    </row>
    <row r="380" spans="10:11" x14ac:dyDescent="0.3">
      <c r="J380" s="459"/>
      <c r="K380" s="459"/>
    </row>
    <row r="381" spans="10:11" x14ac:dyDescent="0.3">
      <c r="J381" s="459"/>
      <c r="K381" s="459"/>
    </row>
    <row r="382" spans="10:11" x14ac:dyDescent="0.3">
      <c r="J382" s="459"/>
      <c r="K382" s="459"/>
    </row>
    <row r="383" spans="10:11" x14ac:dyDescent="0.3">
      <c r="J383" s="459"/>
      <c r="K383" s="459"/>
    </row>
    <row r="384" spans="10:11" x14ac:dyDescent="0.3">
      <c r="J384" s="459"/>
      <c r="K384" s="459"/>
    </row>
    <row r="385" spans="10:11" x14ac:dyDescent="0.3">
      <c r="J385" s="459"/>
      <c r="K385" s="459"/>
    </row>
    <row r="386" spans="10:11" x14ac:dyDescent="0.3">
      <c r="J386" s="459"/>
      <c r="K386" s="459"/>
    </row>
    <row r="387" spans="10:11" x14ac:dyDescent="0.3">
      <c r="J387" s="459"/>
      <c r="K387" s="459"/>
    </row>
    <row r="388" spans="10:11" x14ac:dyDescent="0.3">
      <c r="J388" s="459"/>
      <c r="K388" s="459"/>
    </row>
    <row r="389" spans="10:11" x14ac:dyDescent="0.3">
      <c r="J389" s="459"/>
      <c r="K389" s="459"/>
    </row>
    <row r="390" spans="10:11" x14ac:dyDescent="0.3">
      <c r="J390" s="459"/>
      <c r="K390" s="459"/>
    </row>
    <row r="391" spans="10:11" x14ac:dyDescent="0.3">
      <c r="J391" s="459"/>
      <c r="K391" s="459"/>
    </row>
    <row r="392" spans="10:11" x14ac:dyDescent="0.3">
      <c r="J392" s="459"/>
      <c r="K392" s="459"/>
    </row>
    <row r="393" spans="10:11" x14ac:dyDescent="0.3">
      <c r="J393" s="459"/>
      <c r="K393" s="459"/>
    </row>
    <row r="394" spans="10:11" x14ac:dyDescent="0.3">
      <c r="J394" s="459"/>
      <c r="K394" s="459"/>
    </row>
    <row r="395" spans="10:11" x14ac:dyDescent="0.3">
      <c r="J395" s="459"/>
      <c r="K395" s="459"/>
    </row>
    <row r="396" spans="10:11" x14ac:dyDescent="0.3">
      <c r="J396" s="459"/>
      <c r="K396" s="459"/>
    </row>
    <row r="397" spans="10:11" x14ac:dyDescent="0.3">
      <c r="J397" s="459"/>
      <c r="K397" s="459"/>
    </row>
    <row r="398" spans="10:11" x14ac:dyDescent="0.3">
      <c r="J398" s="459"/>
      <c r="K398" s="459"/>
    </row>
    <row r="399" spans="10:11" x14ac:dyDescent="0.3">
      <c r="J399" s="459"/>
      <c r="K399" s="459"/>
    </row>
    <row r="400" spans="10:11" x14ac:dyDescent="0.3">
      <c r="J400" s="459"/>
      <c r="K400" s="459"/>
    </row>
    <row r="401" spans="10:11" x14ac:dyDescent="0.3">
      <c r="J401" s="459"/>
      <c r="K401" s="459"/>
    </row>
    <row r="402" spans="10:11" x14ac:dyDescent="0.3">
      <c r="J402" s="459"/>
      <c r="K402" s="459"/>
    </row>
    <row r="403" spans="10:11" x14ac:dyDescent="0.3">
      <c r="J403" s="459"/>
      <c r="K403" s="459"/>
    </row>
    <row r="404" spans="10:11" x14ac:dyDescent="0.3">
      <c r="J404" s="459"/>
      <c r="K404" s="459"/>
    </row>
    <row r="405" spans="10:11" x14ac:dyDescent="0.3">
      <c r="J405" s="459"/>
      <c r="K405" s="459"/>
    </row>
    <row r="406" spans="10:11" x14ac:dyDescent="0.3">
      <c r="J406" s="459"/>
      <c r="K406" s="459"/>
    </row>
    <row r="407" spans="10:11" x14ac:dyDescent="0.3">
      <c r="J407" s="459"/>
      <c r="K407" s="459"/>
    </row>
    <row r="408" spans="10:11" x14ac:dyDescent="0.3">
      <c r="J408" s="459"/>
      <c r="K408" s="459"/>
    </row>
    <row r="409" spans="10:11" x14ac:dyDescent="0.3">
      <c r="J409" s="459"/>
      <c r="K409" s="459"/>
    </row>
    <row r="410" spans="10:11" x14ac:dyDescent="0.3">
      <c r="J410" s="459"/>
      <c r="K410" s="459"/>
    </row>
    <row r="411" spans="10:11" x14ac:dyDescent="0.3">
      <c r="J411" s="459"/>
      <c r="K411" s="459"/>
    </row>
    <row r="412" spans="10:11" x14ac:dyDescent="0.3">
      <c r="J412" s="459"/>
      <c r="K412" s="459"/>
    </row>
    <row r="413" spans="10:11" x14ac:dyDescent="0.3">
      <c r="J413" s="459"/>
      <c r="K413" s="459"/>
    </row>
    <row r="414" spans="10:11" x14ac:dyDescent="0.3">
      <c r="J414" s="459"/>
      <c r="K414" s="459"/>
    </row>
    <row r="415" spans="10:11" x14ac:dyDescent="0.3">
      <c r="J415" s="459"/>
      <c r="K415" s="459"/>
    </row>
    <row r="416" spans="10:11" x14ac:dyDescent="0.3">
      <c r="J416" s="459"/>
      <c r="K416" s="459"/>
    </row>
    <row r="417" spans="10:11" x14ac:dyDescent="0.3">
      <c r="J417" s="459"/>
      <c r="K417" s="459"/>
    </row>
    <row r="418" spans="10:11" x14ac:dyDescent="0.3">
      <c r="J418" s="459"/>
      <c r="K418" s="459"/>
    </row>
    <row r="419" spans="10:11" x14ac:dyDescent="0.3">
      <c r="J419" s="459"/>
      <c r="K419" s="459"/>
    </row>
    <row r="420" spans="10:11" x14ac:dyDescent="0.3">
      <c r="J420" s="459"/>
      <c r="K420" s="459"/>
    </row>
    <row r="421" spans="10:11" x14ac:dyDescent="0.3">
      <c r="J421" s="459"/>
      <c r="K421" s="459"/>
    </row>
    <row r="422" spans="10:11" x14ac:dyDescent="0.3">
      <c r="J422" s="459"/>
      <c r="K422" s="459"/>
    </row>
    <row r="423" spans="10:11" x14ac:dyDescent="0.3">
      <c r="J423" s="459"/>
      <c r="K423" s="459"/>
    </row>
    <row r="424" spans="10:11" x14ac:dyDescent="0.3">
      <c r="J424" s="459"/>
      <c r="K424" s="459"/>
    </row>
    <row r="425" spans="10:11" x14ac:dyDescent="0.3">
      <c r="J425" s="459"/>
      <c r="K425" s="459"/>
    </row>
    <row r="426" spans="10:11" x14ac:dyDescent="0.3">
      <c r="J426" s="459"/>
      <c r="K426" s="459"/>
    </row>
    <row r="427" spans="10:11" x14ac:dyDescent="0.3">
      <c r="J427" s="459"/>
      <c r="K427" s="459"/>
    </row>
    <row r="428" spans="10:11" x14ac:dyDescent="0.3">
      <c r="J428" s="459"/>
      <c r="K428" s="459"/>
    </row>
    <row r="429" spans="10:11" x14ac:dyDescent="0.3">
      <c r="J429" s="459"/>
      <c r="K429" s="459"/>
    </row>
    <row r="430" spans="10:11" x14ac:dyDescent="0.3">
      <c r="J430" s="459"/>
      <c r="K430" s="459"/>
    </row>
    <row r="431" spans="10:11" x14ac:dyDescent="0.3">
      <c r="J431" s="459"/>
      <c r="K431" s="459"/>
    </row>
    <row r="432" spans="10:11" x14ac:dyDescent="0.3">
      <c r="J432" s="459"/>
      <c r="K432" s="459"/>
    </row>
    <row r="433" spans="10:11" x14ac:dyDescent="0.3">
      <c r="J433" s="459"/>
      <c r="K433" s="459"/>
    </row>
    <row r="434" spans="10:11" x14ac:dyDescent="0.3">
      <c r="J434" s="459"/>
      <c r="K434" s="459"/>
    </row>
    <row r="435" spans="10:11" x14ac:dyDescent="0.3">
      <c r="J435" s="459"/>
      <c r="K435" s="459"/>
    </row>
    <row r="436" spans="10:11" x14ac:dyDescent="0.3">
      <c r="J436" s="459"/>
      <c r="K436" s="459"/>
    </row>
    <row r="437" spans="10:11" x14ac:dyDescent="0.3">
      <c r="J437" s="459"/>
      <c r="K437" s="459"/>
    </row>
    <row r="438" spans="10:11" x14ac:dyDescent="0.3">
      <c r="J438" s="459"/>
      <c r="K438" s="459"/>
    </row>
    <row r="439" spans="10:11" x14ac:dyDescent="0.3">
      <c r="J439" s="459"/>
      <c r="K439" s="459"/>
    </row>
    <row r="440" spans="10:11" x14ac:dyDescent="0.3">
      <c r="J440" s="459"/>
      <c r="K440" s="459"/>
    </row>
    <row r="441" spans="10:11" x14ac:dyDescent="0.3">
      <c r="J441" s="459"/>
      <c r="K441" s="459"/>
    </row>
    <row r="442" spans="10:11" x14ac:dyDescent="0.3">
      <c r="J442" s="459"/>
      <c r="K442" s="459"/>
    </row>
    <row r="443" spans="10:11" x14ac:dyDescent="0.3">
      <c r="J443" s="459"/>
      <c r="K443" s="459"/>
    </row>
    <row r="444" spans="10:11" x14ac:dyDescent="0.3">
      <c r="J444" s="459"/>
      <c r="K444" s="459"/>
    </row>
    <row r="445" spans="10:11" x14ac:dyDescent="0.3">
      <c r="J445" s="459"/>
      <c r="K445" s="459"/>
    </row>
    <row r="446" spans="10:11" x14ac:dyDescent="0.3">
      <c r="J446" s="459"/>
      <c r="K446" s="459"/>
    </row>
    <row r="447" spans="10:11" x14ac:dyDescent="0.3">
      <c r="J447" s="459"/>
      <c r="K447" s="459"/>
    </row>
    <row r="448" spans="10:11" x14ac:dyDescent="0.3">
      <c r="J448" s="459"/>
      <c r="K448" s="459"/>
    </row>
    <row r="449" spans="10:11" x14ac:dyDescent="0.3">
      <c r="J449" s="459"/>
      <c r="K449" s="459"/>
    </row>
    <row r="450" spans="10:11" x14ac:dyDescent="0.3">
      <c r="J450" s="459"/>
      <c r="K450" s="459"/>
    </row>
    <row r="451" spans="10:11" x14ac:dyDescent="0.3">
      <c r="J451" s="459"/>
      <c r="K451" s="459"/>
    </row>
    <row r="452" spans="10:11" x14ac:dyDescent="0.3">
      <c r="J452" s="459"/>
      <c r="K452" s="459"/>
    </row>
    <row r="453" spans="10:11" x14ac:dyDescent="0.3">
      <c r="J453" s="459"/>
      <c r="K453" s="459"/>
    </row>
    <row r="454" spans="10:11" x14ac:dyDescent="0.3">
      <c r="J454" s="459"/>
      <c r="K454" s="459"/>
    </row>
    <row r="455" spans="10:11" x14ac:dyDescent="0.3">
      <c r="J455" s="459"/>
      <c r="K455" s="459"/>
    </row>
    <row r="456" spans="10:11" x14ac:dyDescent="0.3">
      <c r="J456" s="459"/>
      <c r="K456" s="459"/>
    </row>
    <row r="457" spans="10:11" x14ac:dyDescent="0.3">
      <c r="J457" s="459"/>
      <c r="K457" s="459"/>
    </row>
    <row r="458" spans="10:11" x14ac:dyDescent="0.3">
      <c r="J458" s="459"/>
      <c r="K458" s="459"/>
    </row>
    <row r="459" spans="10:11" x14ac:dyDescent="0.3">
      <c r="J459" s="459"/>
      <c r="K459" s="459"/>
    </row>
    <row r="460" spans="10:11" x14ac:dyDescent="0.3">
      <c r="J460" s="459"/>
      <c r="K460" s="459"/>
    </row>
    <row r="461" spans="10:11" x14ac:dyDescent="0.3">
      <c r="J461" s="459"/>
      <c r="K461" s="459"/>
    </row>
    <row r="462" spans="10:11" x14ac:dyDescent="0.3">
      <c r="J462" s="459"/>
      <c r="K462" s="459"/>
    </row>
    <row r="463" spans="10:11" x14ac:dyDescent="0.3">
      <c r="J463" s="459"/>
      <c r="K463" s="459"/>
    </row>
    <row r="464" spans="10:11" x14ac:dyDescent="0.3">
      <c r="J464" s="459"/>
      <c r="K464" s="459"/>
    </row>
    <row r="465" spans="10:11" x14ac:dyDescent="0.3">
      <c r="J465" s="459"/>
      <c r="K465" s="459"/>
    </row>
    <row r="466" spans="10:11" x14ac:dyDescent="0.3">
      <c r="J466" s="459"/>
      <c r="K466" s="459"/>
    </row>
    <row r="467" spans="10:11" x14ac:dyDescent="0.3">
      <c r="J467" s="459"/>
      <c r="K467" s="459"/>
    </row>
    <row r="468" spans="10:11" x14ac:dyDescent="0.3">
      <c r="J468" s="459"/>
      <c r="K468" s="459"/>
    </row>
    <row r="469" spans="10:11" x14ac:dyDescent="0.3">
      <c r="J469" s="459"/>
      <c r="K469" s="459"/>
    </row>
    <row r="470" spans="10:11" x14ac:dyDescent="0.3">
      <c r="J470" s="459"/>
      <c r="K470" s="459"/>
    </row>
    <row r="471" spans="10:11" x14ac:dyDescent="0.3">
      <c r="J471" s="459"/>
      <c r="K471" s="459"/>
    </row>
    <row r="472" spans="10:11" x14ac:dyDescent="0.3">
      <c r="J472" s="459"/>
      <c r="K472" s="459"/>
    </row>
    <row r="473" spans="10:11" x14ac:dyDescent="0.3">
      <c r="J473" s="459"/>
      <c r="K473" s="459"/>
    </row>
    <row r="474" spans="10:11" x14ac:dyDescent="0.3">
      <c r="J474" s="459"/>
      <c r="K474" s="459"/>
    </row>
    <row r="475" spans="10:11" x14ac:dyDescent="0.3">
      <c r="J475" s="459"/>
      <c r="K475" s="459"/>
    </row>
    <row r="476" spans="10:11" x14ac:dyDescent="0.3">
      <c r="J476" s="459"/>
      <c r="K476" s="459"/>
    </row>
    <row r="477" spans="10:11" x14ac:dyDescent="0.3">
      <c r="J477" s="459"/>
      <c r="K477" s="459"/>
    </row>
    <row r="478" spans="10:11" x14ac:dyDescent="0.3">
      <c r="J478" s="459"/>
      <c r="K478" s="459"/>
    </row>
    <row r="479" spans="10:11" x14ac:dyDescent="0.3">
      <c r="J479" s="459"/>
      <c r="K479" s="459"/>
    </row>
    <row r="480" spans="10:11" x14ac:dyDescent="0.3">
      <c r="J480" s="459"/>
      <c r="K480" s="459"/>
    </row>
    <row r="481" spans="10:11" x14ac:dyDescent="0.3">
      <c r="J481" s="459"/>
      <c r="K481" s="459"/>
    </row>
    <row r="482" spans="10:11" x14ac:dyDescent="0.3">
      <c r="J482" s="459"/>
      <c r="K482" s="459"/>
    </row>
    <row r="483" spans="10:11" x14ac:dyDescent="0.3">
      <c r="J483" s="459"/>
      <c r="K483" s="459"/>
    </row>
    <row r="484" spans="10:11" x14ac:dyDescent="0.3">
      <c r="J484" s="459"/>
      <c r="K484" s="459"/>
    </row>
    <row r="485" spans="10:11" x14ac:dyDescent="0.3">
      <c r="J485" s="459"/>
      <c r="K485" s="459"/>
    </row>
    <row r="486" spans="10:11" x14ac:dyDescent="0.3">
      <c r="J486" s="459"/>
      <c r="K486" s="459"/>
    </row>
    <row r="487" spans="10:11" x14ac:dyDescent="0.3">
      <c r="J487" s="459"/>
      <c r="K487" s="459"/>
    </row>
    <row r="488" spans="10:11" x14ac:dyDescent="0.3">
      <c r="J488" s="459"/>
      <c r="K488" s="459"/>
    </row>
    <row r="489" spans="10:11" x14ac:dyDescent="0.3">
      <c r="J489" s="459"/>
      <c r="K489" s="459"/>
    </row>
    <row r="490" spans="10:11" x14ac:dyDescent="0.3">
      <c r="J490" s="459"/>
      <c r="K490" s="459"/>
    </row>
    <row r="491" spans="10:11" x14ac:dyDescent="0.3">
      <c r="J491" s="459"/>
      <c r="K491" s="459"/>
    </row>
    <row r="492" spans="10:11" x14ac:dyDescent="0.3">
      <c r="J492" s="459"/>
      <c r="K492" s="459"/>
    </row>
    <row r="493" spans="10:11" x14ac:dyDescent="0.3">
      <c r="J493" s="459"/>
      <c r="K493" s="459"/>
    </row>
    <row r="494" spans="10:11" x14ac:dyDescent="0.3">
      <c r="J494" s="459"/>
      <c r="K494" s="459"/>
    </row>
    <row r="495" spans="10:11" x14ac:dyDescent="0.3">
      <c r="J495" s="459"/>
      <c r="K495" s="459"/>
    </row>
    <row r="496" spans="10:11" x14ac:dyDescent="0.3">
      <c r="J496" s="459"/>
      <c r="K496" s="459"/>
    </row>
    <row r="497" spans="10:11" x14ac:dyDescent="0.3">
      <c r="J497" s="459"/>
      <c r="K497" s="459"/>
    </row>
    <row r="498" spans="10:11" x14ac:dyDescent="0.3">
      <c r="J498" s="459"/>
      <c r="K498" s="459"/>
    </row>
    <row r="499" spans="10:11" x14ac:dyDescent="0.3">
      <c r="J499" s="459"/>
      <c r="K499" s="459"/>
    </row>
    <row r="500" spans="10:11" x14ac:dyDescent="0.3">
      <c r="J500" s="459"/>
      <c r="K500" s="459"/>
    </row>
    <row r="501" spans="10:11" x14ac:dyDescent="0.3">
      <c r="J501" s="459"/>
      <c r="K501" s="459"/>
    </row>
    <row r="502" spans="10:11" x14ac:dyDescent="0.3">
      <c r="J502" s="459"/>
      <c r="K502" s="459"/>
    </row>
    <row r="503" spans="10:11" x14ac:dyDescent="0.3">
      <c r="J503" s="459"/>
      <c r="K503" s="459"/>
    </row>
    <row r="504" spans="10:11" x14ac:dyDescent="0.3">
      <c r="J504" s="459"/>
      <c r="K504" s="459"/>
    </row>
    <row r="505" spans="10:11" x14ac:dyDescent="0.3">
      <c r="J505" s="459"/>
      <c r="K505" s="459"/>
    </row>
    <row r="506" spans="10:11" x14ac:dyDescent="0.3">
      <c r="J506" s="459"/>
      <c r="K506" s="459"/>
    </row>
    <row r="507" spans="10:11" x14ac:dyDescent="0.3">
      <c r="J507" s="459"/>
      <c r="K507" s="459"/>
    </row>
    <row r="508" spans="10:11" x14ac:dyDescent="0.3">
      <c r="J508" s="459"/>
      <c r="K508" s="459"/>
    </row>
    <row r="509" spans="10:11" x14ac:dyDescent="0.3">
      <c r="J509" s="459"/>
      <c r="K509" s="459"/>
    </row>
    <row r="510" spans="10:11" x14ac:dyDescent="0.3">
      <c r="J510" s="459"/>
      <c r="K510" s="459"/>
    </row>
    <row r="511" spans="10:11" x14ac:dyDescent="0.3">
      <c r="J511" s="459"/>
      <c r="K511" s="459"/>
    </row>
    <row r="512" spans="10:11" x14ac:dyDescent="0.3">
      <c r="J512" s="459"/>
      <c r="K512" s="459"/>
    </row>
    <row r="513" spans="10:11" x14ac:dyDescent="0.3">
      <c r="J513" s="459"/>
      <c r="K513" s="459"/>
    </row>
    <row r="514" spans="10:11" x14ac:dyDescent="0.3">
      <c r="J514" s="459"/>
      <c r="K514" s="459"/>
    </row>
    <row r="515" spans="10:11" x14ac:dyDescent="0.3">
      <c r="J515" s="459"/>
      <c r="K515" s="459"/>
    </row>
    <row r="516" spans="10:11" x14ac:dyDescent="0.3">
      <c r="J516" s="459"/>
      <c r="K516" s="459"/>
    </row>
    <row r="517" spans="10:11" x14ac:dyDescent="0.3">
      <c r="J517" s="459"/>
      <c r="K517" s="459"/>
    </row>
    <row r="518" spans="10:11" x14ac:dyDescent="0.3">
      <c r="J518" s="459"/>
      <c r="K518" s="459"/>
    </row>
    <row r="519" spans="10:11" x14ac:dyDescent="0.3">
      <c r="J519" s="459"/>
      <c r="K519" s="459"/>
    </row>
    <row r="520" spans="10:11" x14ac:dyDescent="0.3">
      <c r="J520" s="459"/>
      <c r="K520" s="459"/>
    </row>
    <row r="521" spans="10:11" x14ac:dyDescent="0.3">
      <c r="J521" s="459"/>
      <c r="K521" s="459"/>
    </row>
    <row r="522" spans="10:11" x14ac:dyDescent="0.3">
      <c r="J522" s="459"/>
      <c r="K522" s="459"/>
    </row>
    <row r="523" spans="10:11" x14ac:dyDescent="0.3">
      <c r="J523" s="459"/>
      <c r="K523" s="459"/>
    </row>
    <row r="524" spans="10:11" x14ac:dyDescent="0.3">
      <c r="J524" s="459"/>
      <c r="K524" s="459"/>
    </row>
    <row r="525" spans="10:11" x14ac:dyDescent="0.3">
      <c r="J525" s="459"/>
      <c r="K525" s="459"/>
    </row>
    <row r="526" spans="10:11" x14ac:dyDescent="0.3">
      <c r="J526" s="459"/>
      <c r="K526" s="459"/>
    </row>
    <row r="527" spans="10:11" x14ac:dyDescent="0.3">
      <c r="J527" s="459"/>
      <c r="K527" s="459"/>
    </row>
    <row r="528" spans="10:11" x14ac:dyDescent="0.3">
      <c r="J528" s="459"/>
      <c r="K528" s="459"/>
    </row>
    <row r="529" spans="10:11" x14ac:dyDescent="0.3">
      <c r="J529" s="459"/>
      <c r="K529" s="459"/>
    </row>
    <row r="530" spans="10:11" x14ac:dyDescent="0.3">
      <c r="J530" s="459"/>
      <c r="K530" s="459"/>
    </row>
    <row r="531" spans="10:11" x14ac:dyDescent="0.3">
      <c r="J531" s="459"/>
      <c r="K531" s="459"/>
    </row>
    <row r="532" spans="10:11" x14ac:dyDescent="0.3">
      <c r="J532" s="459"/>
      <c r="K532" s="459"/>
    </row>
    <row r="533" spans="10:11" x14ac:dyDescent="0.3">
      <c r="J533" s="459"/>
      <c r="K533" s="459"/>
    </row>
    <row r="534" spans="10:11" x14ac:dyDescent="0.3">
      <c r="J534" s="459"/>
      <c r="K534" s="459"/>
    </row>
    <row r="535" spans="10:11" x14ac:dyDescent="0.3">
      <c r="J535" s="459"/>
      <c r="K535" s="459"/>
    </row>
    <row r="536" spans="10:11" x14ac:dyDescent="0.3">
      <c r="J536" s="459"/>
      <c r="K536" s="459"/>
    </row>
    <row r="537" spans="10:11" x14ac:dyDescent="0.3">
      <c r="J537" s="459"/>
      <c r="K537" s="459"/>
    </row>
    <row r="538" spans="10:11" x14ac:dyDescent="0.3">
      <c r="J538" s="459"/>
      <c r="K538" s="459"/>
    </row>
    <row r="539" spans="10:11" x14ac:dyDescent="0.3">
      <c r="J539" s="459"/>
      <c r="K539" s="459"/>
    </row>
    <row r="540" spans="10:11" x14ac:dyDescent="0.3">
      <c r="J540" s="459"/>
      <c r="K540" s="459"/>
    </row>
    <row r="541" spans="10:11" x14ac:dyDescent="0.3">
      <c r="J541" s="459"/>
      <c r="K541" s="459"/>
    </row>
    <row r="542" spans="10:11" x14ac:dyDescent="0.3">
      <c r="J542" s="459"/>
      <c r="K542" s="459"/>
    </row>
    <row r="543" spans="10:11" x14ac:dyDescent="0.3">
      <c r="J543" s="459"/>
      <c r="K543" s="459"/>
    </row>
    <row r="544" spans="10:11" x14ac:dyDescent="0.3">
      <c r="J544" s="459"/>
      <c r="K544" s="459"/>
    </row>
    <row r="545" spans="10:11" x14ac:dyDescent="0.3">
      <c r="J545" s="459"/>
      <c r="K545" s="459"/>
    </row>
    <row r="546" spans="10:11" x14ac:dyDescent="0.3">
      <c r="J546" s="459"/>
      <c r="K546" s="459"/>
    </row>
    <row r="547" spans="10:11" x14ac:dyDescent="0.3">
      <c r="J547" s="459"/>
      <c r="K547" s="459"/>
    </row>
    <row r="548" spans="10:11" x14ac:dyDescent="0.3">
      <c r="J548" s="459"/>
      <c r="K548" s="459"/>
    </row>
    <row r="549" spans="10:11" x14ac:dyDescent="0.3">
      <c r="J549" s="459"/>
      <c r="K549" s="459"/>
    </row>
    <row r="550" spans="10:11" x14ac:dyDescent="0.3">
      <c r="J550" s="459"/>
      <c r="K550" s="459"/>
    </row>
    <row r="551" spans="10:11" x14ac:dyDescent="0.3">
      <c r="J551" s="459"/>
      <c r="K551" s="459"/>
    </row>
    <row r="552" spans="10:11" x14ac:dyDescent="0.3">
      <c r="J552" s="459"/>
      <c r="K552" s="459"/>
    </row>
    <row r="553" spans="10:11" x14ac:dyDescent="0.3">
      <c r="J553" s="459"/>
      <c r="K553" s="459"/>
    </row>
    <row r="554" spans="10:11" x14ac:dyDescent="0.3">
      <c r="J554" s="459"/>
      <c r="K554" s="459"/>
    </row>
    <row r="555" spans="10:11" x14ac:dyDescent="0.3">
      <c r="J555" s="459"/>
      <c r="K555" s="459"/>
    </row>
    <row r="556" spans="10:11" x14ac:dyDescent="0.3">
      <c r="J556" s="459"/>
      <c r="K556" s="459"/>
    </row>
    <row r="557" spans="10:11" x14ac:dyDescent="0.3">
      <c r="J557" s="459"/>
      <c r="K557" s="459"/>
    </row>
    <row r="558" spans="10:11" x14ac:dyDescent="0.3">
      <c r="J558" s="459"/>
      <c r="K558" s="459"/>
    </row>
    <row r="559" spans="10:11" x14ac:dyDescent="0.3">
      <c r="J559" s="459"/>
      <c r="K559" s="459"/>
    </row>
    <row r="560" spans="10:11" x14ac:dyDescent="0.3">
      <c r="J560" s="459"/>
      <c r="K560" s="459"/>
    </row>
    <row r="561" spans="10:11" x14ac:dyDescent="0.3">
      <c r="J561" s="459"/>
      <c r="K561" s="459"/>
    </row>
    <row r="562" spans="10:11" x14ac:dyDescent="0.3">
      <c r="J562" s="459"/>
      <c r="K562" s="459"/>
    </row>
    <row r="563" spans="10:11" x14ac:dyDescent="0.3">
      <c r="J563" s="459"/>
      <c r="K563" s="459"/>
    </row>
    <row r="564" spans="10:11" x14ac:dyDescent="0.3">
      <c r="J564" s="459"/>
      <c r="K564" s="459"/>
    </row>
    <row r="565" spans="10:11" x14ac:dyDescent="0.3">
      <c r="J565" s="459"/>
      <c r="K565" s="459"/>
    </row>
    <row r="566" spans="10:11" x14ac:dyDescent="0.3">
      <c r="J566" s="459"/>
      <c r="K566" s="459"/>
    </row>
    <row r="567" spans="10:11" x14ac:dyDescent="0.3">
      <c r="J567" s="459"/>
      <c r="K567" s="459"/>
    </row>
    <row r="568" spans="10:11" x14ac:dyDescent="0.3">
      <c r="J568" s="459"/>
      <c r="K568" s="459"/>
    </row>
    <row r="569" spans="10:11" x14ac:dyDescent="0.3">
      <c r="J569" s="459"/>
      <c r="K569" s="459"/>
    </row>
    <row r="570" spans="10:11" x14ac:dyDescent="0.3">
      <c r="J570" s="459"/>
      <c r="K570" s="459"/>
    </row>
    <row r="571" spans="10:11" x14ac:dyDescent="0.3">
      <c r="J571" s="459"/>
      <c r="K571" s="459"/>
    </row>
    <row r="572" spans="10:11" x14ac:dyDescent="0.3">
      <c r="J572" s="459"/>
      <c r="K572" s="459"/>
    </row>
    <row r="573" spans="10:11" x14ac:dyDescent="0.3">
      <c r="J573" s="459"/>
      <c r="K573" s="459"/>
    </row>
    <row r="574" spans="10:11" x14ac:dyDescent="0.3">
      <c r="J574" s="459"/>
      <c r="K574" s="459"/>
    </row>
    <row r="575" spans="10:11" x14ac:dyDescent="0.3">
      <c r="J575" s="459"/>
      <c r="K575" s="459"/>
    </row>
    <row r="576" spans="10:11" x14ac:dyDescent="0.3">
      <c r="J576" s="459"/>
      <c r="K576" s="459"/>
    </row>
    <row r="577" spans="10:11" x14ac:dyDescent="0.3">
      <c r="J577" s="459"/>
      <c r="K577" s="459"/>
    </row>
    <row r="578" spans="10:11" x14ac:dyDescent="0.3">
      <c r="J578" s="459"/>
      <c r="K578" s="459"/>
    </row>
    <row r="579" spans="10:11" x14ac:dyDescent="0.3">
      <c r="J579" s="459"/>
      <c r="K579" s="459"/>
    </row>
    <row r="580" spans="10:11" x14ac:dyDescent="0.3">
      <c r="J580" s="459"/>
      <c r="K580" s="459"/>
    </row>
    <row r="581" spans="10:11" x14ac:dyDescent="0.3">
      <c r="J581" s="459"/>
      <c r="K581" s="459"/>
    </row>
    <row r="582" spans="10:11" x14ac:dyDescent="0.3">
      <c r="J582" s="459"/>
      <c r="K582" s="459"/>
    </row>
    <row r="583" spans="10:11" x14ac:dyDescent="0.3">
      <c r="J583" s="459"/>
      <c r="K583" s="459"/>
    </row>
    <row r="584" spans="10:11" x14ac:dyDescent="0.3">
      <c r="J584" s="459"/>
      <c r="K584" s="459"/>
    </row>
    <row r="585" spans="10:11" x14ac:dyDescent="0.3">
      <c r="J585" s="459"/>
      <c r="K585" s="459"/>
    </row>
    <row r="586" spans="10:11" x14ac:dyDescent="0.3">
      <c r="J586" s="459"/>
      <c r="K586" s="459"/>
    </row>
    <row r="587" spans="10:11" x14ac:dyDescent="0.3">
      <c r="J587" s="459"/>
      <c r="K587" s="459"/>
    </row>
    <row r="588" spans="10:11" x14ac:dyDescent="0.3">
      <c r="J588" s="459"/>
      <c r="K588" s="459"/>
    </row>
    <row r="589" spans="10:11" x14ac:dyDescent="0.3">
      <c r="J589" s="459"/>
      <c r="K589" s="459"/>
    </row>
    <row r="590" spans="10:11" x14ac:dyDescent="0.3">
      <c r="J590" s="459"/>
      <c r="K590" s="459"/>
    </row>
    <row r="591" spans="10:11" x14ac:dyDescent="0.3">
      <c r="J591" s="459"/>
      <c r="K591" s="459"/>
    </row>
    <row r="592" spans="10:11" x14ac:dyDescent="0.3">
      <c r="J592" s="459"/>
      <c r="K592" s="459"/>
    </row>
    <row r="593" spans="10:11" x14ac:dyDescent="0.3">
      <c r="J593" s="459"/>
      <c r="K593" s="459"/>
    </row>
    <row r="594" spans="10:11" x14ac:dyDescent="0.3">
      <c r="J594" s="459"/>
      <c r="K594" s="459"/>
    </row>
    <row r="595" spans="10:11" x14ac:dyDescent="0.3">
      <c r="J595" s="459"/>
      <c r="K595" s="459"/>
    </row>
    <row r="596" spans="10:11" x14ac:dyDescent="0.3">
      <c r="J596" s="459"/>
      <c r="K596" s="459"/>
    </row>
    <row r="597" spans="10:11" x14ac:dyDescent="0.3">
      <c r="J597" s="459"/>
      <c r="K597" s="459"/>
    </row>
    <row r="598" spans="10:11" x14ac:dyDescent="0.3">
      <c r="J598" s="459"/>
      <c r="K598" s="459"/>
    </row>
    <row r="599" spans="10:11" x14ac:dyDescent="0.3">
      <c r="J599" s="459"/>
      <c r="K599" s="459"/>
    </row>
    <row r="600" spans="10:11" x14ac:dyDescent="0.3">
      <c r="J600" s="459"/>
      <c r="K600" s="459"/>
    </row>
    <row r="601" spans="10:11" x14ac:dyDescent="0.3">
      <c r="J601" s="459"/>
      <c r="K601" s="459"/>
    </row>
    <row r="602" spans="10:11" x14ac:dyDescent="0.3">
      <c r="J602" s="459"/>
      <c r="K602" s="459"/>
    </row>
    <row r="603" spans="10:11" x14ac:dyDescent="0.3">
      <c r="J603" s="459"/>
      <c r="K603" s="459"/>
    </row>
    <row r="604" spans="10:11" x14ac:dyDescent="0.3">
      <c r="J604" s="459"/>
      <c r="K604" s="459"/>
    </row>
    <row r="605" spans="10:11" x14ac:dyDescent="0.3">
      <c r="J605" s="459"/>
      <c r="K605" s="459"/>
    </row>
    <row r="606" spans="10:11" x14ac:dyDescent="0.3">
      <c r="J606" s="459"/>
      <c r="K606" s="459"/>
    </row>
    <row r="607" spans="10:11" x14ac:dyDescent="0.3">
      <c r="J607" s="459"/>
      <c r="K607" s="459"/>
    </row>
    <row r="608" spans="10:11" x14ac:dyDescent="0.3">
      <c r="J608" s="459"/>
      <c r="K608" s="459"/>
    </row>
    <row r="609" spans="10:11" x14ac:dyDescent="0.3">
      <c r="J609" s="459"/>
      <c r="K609" s="459"/>
    </row>
    <row r="610" spans="10:11" x14ac:dyDescent="0.3">
      <c r="J610" s="459"/>
      <c r="K610" s="459"/>
    </row>
    <row r="611" spans="10:11" x14ac:dyDescent="0.3">
      <c r="J611" s="459"/>
      <c r="K611" s="459"/>
    </row>
    <row r="612" spans="10:11" x14ac:dyDescent="0.3">
      <c r="J612" s="459"/>
      <c r="K612" s="459"/>
    </row>
    <row r="613" spans="10:11" x14ac:dyDescent="0.3">
      <c r="J613" s="459"/>
      <c r="K613" s="459"/>
    </row>
    <row r="614" spans="10:11" x14ac:dyDescent="0.3">
      <c r="J614" s="459"/>
      <c r="K614" s="459"/>
    </row>
    <row r="615" spans="10:11" x14ac:dyDescent="0.3">
      <c r="J615" s="459"/>
      <c r="K615" s="459"/>
    </row>
    <row r="616" spans="10:11" x14ac:dyDescent="0.3">
      <c r="J616" s="459"/>
      <c r="K616" s="459"/>
    </row>
    <row r="617" spans="10:11" x14ac:dyDescent="0.3">
      <c r="J617" s="459"/>
      <c r="K617" s="459"/>
    </row>
    <row r="618" spans="10:11" x14ac:dyDescent="0.3">
      <c r="J618" s="459"/>
      <c r="K618" s="459"/>
    </row>
    <row r="619" spans="10:11" x14ac:dyDescent="0.3">
      <c r="J619" s="459"/>
      <c r="K619" s="459"/>
    </row>
    <row r="620" spans="10:11" x14ac:dyDescent="0.3">
      <c r="J620" s="459"/>
      <c r="K620" s="459"/>
    </row>
    <row r="621" spans="10:11" x14ac:dyDescent="0.3">
      <c r="J621" s="459"/>
      <c r="K621" s="459"/>
    </row>
    <row r="622" spans="10:11" x14ac:dyDescent="0.3">
      <c r="J622" s="459"/>
      <c r="K622" s="459"/>
    </row>
    <row r="623" spans="10:11" x14ac:dyDescent="0.3">
      <c r="J623" s="459"/>
      <c r="K623" s="459"/>
    </row>
    <row r="624" spans="10:11" x14ac:dyDescent="0.3">
      <c r="J624" s="459"/>
      <c r="K624" s="459"/>
    </row>
    <row r="625" spans="10:11" x14ac:dyDescent="0.3">
      <c r="J625" s="459"/>
      <c r="K625" s="459"/>
    </row>
    <row r="626" spans="10:11" x14ac:dyDescent="0.3">
      <c r="J626" s="459"/>
      <c r="K626" s="459"/>
    </row>
    <row r="627" spans="10:11" x14ac:dyDescent="0.3">
      <c r="J627" s="459"/>
      <c r="K627" s="459"/>
    </row>
    <row r="628" spans="10:11" x14ac:dyDescent="0.3">
      <c r="J628" s="459"/>
      <c r="K628" s="459"/>
    </row>
    <row r="629" spans="10:11" x14ac:dyDescent="0.3">
      <c r="J629" s="459"/>
      <c r="K629" s="459"/>
    </row>
    <row r="630" spans="10:11" x14ac:dyDescent="0.3">
      <c r="J630" s="459"/>
      <c r="K630" s="459"/>
    </row>
    <row r="631" spans="10:11" x14ac:dyDescent="0.3">
      <c r="J631" s="459"/>
      <c r="K631" s="459"/>
    </row>
    <row r="632" spans="10:11" x14ac:dyDescent="0.3">
      <c r="J632" s="459"/>
      <c r="K632" s="459"/>
    </row>
    <row r="633" spans="10:11" x14ac:dyDescent="0.3">
      <c r="J633" s="459"/>
      <c r="K633" s="459"/>
    </row>
    <row r="634" spans="10:11" x14ac:dyDescent="0.3">
      <c r="J634" s="459"/>
      <c r="K634" s="459"/>
    </row>
    <row r="635" spans="10:11" x14ac:dyDescent="0.3">
      <c r="J635" s="459"/>
      <c r="K635" s="459"/>
    </row>
    <row r="636" spans="10:11" x14ac:dyDescent="0.3">
      <c r="J636" s="459"/>
      <c r="K636" s="459"/>
    </row>
    <row r="637" spans="10:11" x14ac:dyDescent="0.3">
      <c r="J637" s="459"/>
      <c r="K637" s="459"/>
    </row>
    <row r="638" spans="10:11" x14ac:dyDescent="0.3">
      <c r="J638" s="459"/>
      <c r="K638" s="459"/>
    </row>
    <row r="639" spans="10:11" x14ac:dyDescent="0.3">
      <c r="J639" s="459"/>
      <c r="K639" s="459"/>
    </row>
    <row r="640" spans="10:11" x14ac:dyDescent="0.3">
      <c r="J640" s="459"/>
      <c r="K640" s="459"/>
    </row>
    <row r="641" spans="10:11" x14ac:dyDescent="0.3">
      <c r="J641" s="459"/>
      <c r="K641" s="459"/>
    </row>
    <row r="642" spans="10:11" x14ac:dyDescent="0.3">
      <c r="J642" s="459"/>
      <c r="K642" s="459"/>
    </row>
    <row r="643" spans="10:11" x14ac:dyDescent="0.3">
      <c r="J643" s="459"/>
      <c r="K643" s="459"/>
    </row>
    <row r="644" spans="10:11" x14ac:dyDescent="0.3">
      <c r="J644" s="459"/>
      <c r="K644" s="459"/>
    </row>
    <row r="645" spans="10:11" x14ac:dyDescent="0.3">
      <c r="J645" s="459"/>
      <c r="K645" s="459"/>
    </row>
    <row r="646" spans="10:11" x14ac:dyDescent="0.3">
      <c r="J646" s="459"/>
      <c r="K646" s="459"/>
    </row>
    <row r="647" spans="10:11" x14ac:dyDescent="0.3">
      <c r="J647" s="459"/>
      <c r="K647" s="459"/>
    </row>
    <row r="648" spans="10:11" x14ac:dyDescent="0.3">
      <c r="J648" s="459"/>
      <c r="K648" s="459"/>
    </row>
    <row r="649" spans="10:11" x14ac:dyDescent="0.3">
      <c r="J649" s="459"/>
      <c r="K649" s="459"/>
    </row>
    <row r="650" spans="10:11" x14ac:dyDescent="0.3">
      <c r="J650" s="459"/>
      <c r="K650" s="459"/>
    </row>
    <row r="651" spans="10:11" x14ac:dyDescent="0.3">
      <c r="J651" s="459"/>
      <c r="K651" s="459"/>
    </row>
    <row r="652" spans="10:11" x14ac:dyDescent="0.3">
      <c r="J652" s="459"/>
      <c r="K652" s="459"/>
    </row>
    <row r="653" spans="10:11" x14ac:dyDescent="0.3">
      <c r="J653" s="459"/>
      <c r="K653" s="459"/>
    </row>
    <row r="654" spans="10:11" x14ac:dyDescent="0.3">
      <c r="J654" s="459"/>
      <c r="K654" s="459"/>
    </row>
    <row r="655" spans="10:11" x14ac:dyDescent="0.3">
      <c r="J655" s="459"/>
      <c r="K655" s="459"/>
    </row>
    <row r="656" spans="10:11" x14ac:dyDescent="0.3">
      <c r="J656" s="459"/>
      <c r="K656" s="459"/>
    </row>
    <row r="657" spans="10:11" x14ac:dyDescent="0.3">
      <c r="J657" s="459"/>
      <c r="K657" s="459"/>
    </row>
    <row r="658" spans="10:11" x14ac:dyDescent="0.3">
      <c r="J658" s="459"/>
      <c r="K658" s="459"/>
    </row>
    <row r="659" spans="10:11" x14ac:dyDescent="0.3">
      <c r="J659" s="459"/>
      <c r="K659" s="459"/>
    </row>
    <row r="660" spans="10:11" x14ac:dyDescent="0.3">
      <c r="J660" s="459"/>
      <c r="K660" s="459"/>
    </row>
    <row r="661" spans="10:11" x14ac:dyDescent="0.3">
      <c r="J661" s="459"/>
      <c r="K661" s="459"/>
    </row>
    <row r="662" spans="10:11" x14ac:dyDescent="0.3">
      <c r="J662" s="459"/>
      <c r="K662" s="459"/>
    </row>
    <row r="663" spans="10:11" x14ac:dyDescent="0.3">
      <c r="J663" s="459"/>
      <c r="K663" s="459"/>
    </row>
    <row r="664" spans="10:11" x14ac:dyDescent="0.3">
      <c r="J664" s="459"/>
      <c r="K664" s="459"/>
    </row>
    <row r="665" spans="10:11" x14ac:dyDescent="0.3">
      <c r="J665" s="459"/>
      <c r="K665" s="459"/>
    </row>
    <row r="666" spans="10:11" x14ac:dyDescent="0.3">
      <c r="J666" s="459"/>
      <c r="K666" s="459"/>
    </row>
    <row r="667" spans="10:11" x14ac:dyDescent="0.3">
      <c r="J667" s="459"/>
      <c r="K667" s="459"/>
    </row>
    <row r="668" spans="10:11" x14ac:dyDescent="0.3">
      <c r="J668" s="459"/>
      <c r="K668" s="459"/>
    </row>
    <row r="669" spans="10:11" x14ac:dyDescent="0.3">
      <c r="J669" s="459"/>
      <c r="K669" s="459"/>
    </row>
    <row r="670" spans="10:11" x14ac:dyDescent="0.3">
      <c r="J670" s="459"/>
      <c r="K670" s="459"/>
    </row>
    <row r="671" spans="10:11" x14ac:dyDescent="0.3">
      <c r="J671" s="459"/>
      <c r="K671" s="459"/>
    </row>
    <row r="672" spans="10:11" x14ac:dyDescent="0.3">
      <c r="J672" s="459"/>
      <c r="K672" s="459"/>
    </row>
    <row r="673" spans="10:11" x14ac:dyDescent="0.3">
      <c r="J673" s="459"/>
      <c r="K673" s="459"/>
    </row>
    <row r="674" spans="10:11" x14ac:dyDescent="0.3">
      <c r="J674" s="459"/>
      <c r="K674" s="459"/>
    </row>
    <row r="675" spans="10:11" x14ac:dyDescent="0.3">
      <c r="J675" s="459"/>
      <c r="K675" s="459"/>
    </row>
    <row r="676" spans="10:11" x14ac:dyDescent="0.3">
      <c r="J676" s="459"/>
      <c r="K676" s="459"/>
    </row>
    <row r="677" spans="10:11" x14ac:dyDescent="0.3">
      <c r="J677" s="459"/>
      <c r="K677" s="459"/>
    </row>
    <row r="678" spans="10:11" x14ac:dyDescent="0.3">
      <c r="J678" s="459"/>
      <c r="K678" s="459"/>
    </row>
    <row r="679" spans="10:11" x14ac:dyDescent="0.3">
      <c r="J679" s="459"/>
      <c r="K679" s="459"/>
    </row>
    <row r="680" spans="10:11" x14ac:dyDescent="0.3">
      <c r="J680" s="459"/>
      <c r="K680" s="459"/>
    </row>
    <row r="681" spans="10:11" x14ac:dyDescent="0.3">
      <c r="J681" s="459"/>
      <c r="K681" s="459"/>
    </row>
    <row r="682" spans="10:11" x14ac:dyDescent="0.3">
      <c r="J682" s="459"/>
      <c r="K682" s="459"/>
    </row>
    <row r="683" spans="10:11" x14ac:dyDescent="0.3">
      <c r="J683" s="459"/>
      <c r="K683" s="459"/>
    </row>
    <row r="684" spans="10:11" x14ac:dyDescent="0.3">
      <c r="J684" s="459"/>
      <c r="K684" s="459"/>
    </row>
    <row r="685" spans="10:11" x14ac:dyDescent="0.3">
      <c r="J685" s="459"/>
      <c r="K685" s="459"/>
    </row>
    <row r="686" spans="10:11" x14ac:dyDescent="0.3">
      <c r="J686" s="459"/>
      <c r="K686" s="459"/>
    </row>
    <row r="687" spans="10:11" x14ac:dyDescent="0.3">
      <c r="J687" s="459"/>
      <c r="K687" s="459"/>
    </row>
    <row r="688" spans="10:11" x14ac:dyDescent="0.3">
      <c r="J688" s="459"/>
      <c r="K688" s="459"/>
    </row>
    <row r="689" spans="10:11" x14ac:dyDescent="0.3">
      <c r="J689" s="459"/>
      <c r="K689" s="459"/>
    </row>
    <row r="690" spans="10:11" x14ac:dyDescent="0.3">
      <c r="J690" s="459"/>
      <c r="K690" s="459"/>
    </row>
    <row r="691" spans="10:11" x14ac:dyDescent="0.3">
      <c r="J691" s="459"/>
      <c r="K691" s="459"/>
    </row>
    <row r="692" spans="10:11" x14ac:dyDescent="0.3">
      <c r="J692" s="459"/>
      <c r="K692" s="459"/>
    </row>
    <row r="693" spans="10:11" x14ac:dyDescent="0.3">
      <c r="J693" s="459"/>
      <c r="K693" s="459"/>
    </row>
    <row r="694" spans="10:11" x14ac:dyDescent="0.3">
      <c r="J694" s="459"/>
      <c r="K694" s="459"/>
    </row>
    <row r="695" spans="10:11" x14ac:dyDescent="0.3">
      <c r="J695" s="459"/>
      <c r="K695" s="459"/>
    </row>
    <row r="696" spans="10:11" x14ac:dyDescent="0.3">
      <c r="J696" s="459"/>
      <c r="K696" s="459"/>
    </row>
    <row r="697" spans="10:11" x14ac:dyDescent="0.3">
      <c r="J697" s="459"/>
      <c r="K697" s="459"/>
    </row>
    <row r="698" spans="10:11" x14ac:dyDescent="0.3">
      <c r="J698" s="459"/>
      <c r="K698" s="459"/>
    </row>
    <row r="699" spans="10:11" x14ac:dyDescent="0.3">
      <c r="J699" s="459"/>
      <c r="K699" s="459"/>
    </row>
    <row r="700" spans="10:11" x14ac:dyDescent="0.3">
      <c r="J700" s="459"/>
      <c r="K700" s="459"/>
    </row>
    <row r="701" spans="10:11" x14ac:dyDescent="0.3">
      <c r="J701" s="459"/>
      <c r="K701" s="459"/>
    </row>
    <row r="702" spans="10:11" x14ac:dyDescent="0.3">
      <c r="J702" s="459"/>
      <c r="K702" s="459"/>
    </row>
    <row r="703" spans="10:11" x14ac:dyDescent="0.3">
      <c r="J703" s="459"/>
      <c r="K703" s="459"/>
    </row>
    <row r="704" spans="10:11" x14ac:dyDescent="0.3">
      <c r="J704" s="459"/>
      <c r="K704" s="459"/>
    </row>
    <row r="705" spans="10:11" x14ac:dyDescent="0.3">
      <c r="J705" s="459"/>
      <c r="K705" s="459"/>
    </row>
    <row r="706" spans="10:11" x14ac:dyDescent="0.3">
      <c r="J706" s="459"/>
      <c r="K706" s="459"/>
    </row>
    <row r="707" spans="10:11" x14ac:dyDescent="0.3">
      <c r="J707" s="459"/>
      <c r="K707" s="459"/>
    </row>
    <row r="708" spans="10:11" x14ac:dyDescent="0.3">
      <c r="J708" s="459"/>
      <c r="K708" s="459"/>
    </row>
    <row r="709" spans="10:11" x14ac:dyDescent="0.3">
      <c r="J709" s="459"/>
      <c r="K709" s="459"/>
    </row>
    <row r="710" spans="10:11" x14ac:dyDescent="0.3">
      <c r="J710" s="459"/>
      <c r="K710" s="459"/>
    </row>
    <row r="711" spans="10:11" x14ac:dyDescent="0.3">
      <c r="J711" s="459"/>
      <c r="K711" s="459"/>
    </row>
    <row r="712" spans="10:11" x14ac:dyDescent="0.3">
      <c r="J712" s="459"/>
      <c r="K712" s="459"/>
    </row>
    <row r="713" spans="10:11" x14ac:dyDescent="0.3">
      <c r="J713" s="459"/>
      <c r="K713" s="459"/>
    </row>
    <row r="714" spans="10:11" x14ac:dyDescent="0.3">
      <c r="J714" s="459"/>
      <c r="K714" s="459"/>
    </row>
    <row r="715" spans="10:11" x14ac:dyDescent="0.3">
      <c r="J715" s="459"/>
      <c r="K715" s="459"/>
    </row>
    <row r="716" spans="10:11" x14ac:dyDescent="0.3">
      <c r="J716" s="459"/>
      <c r="K716" s="459"/>
    </row>
    <row r="717" spans="10:11" x14ac:dyDescent="0.3">
      <c r="J717" s="459"/>
      <c r="K717" s="459"/>
    </row>
    <row r="718" spans="10:11" x14ac:dyDescent="0.3">
      <c r="J718" s="459"/>
      <c r="K718" s="459"/>
    </row>
    <row r="719" spans="10:11" x14ac:dyDescent="0.3">
      <c r="J719" s="459"/>
      <c r="K719" s="459"/>
    </row>
    <row r="720" spans="10:11" x14ac:dyDescent="0.3">
      <c r="J720" s="459"/>
      <c r="K720" s="459"/>
    </row>
    <row r="721" spans="10:11" x14ac:dyDescent="0.3">
      <c r="J721" s="459"/>
      <c r="K721" s="459"/>
    </row>
    <row r="722" spans="10:11" x14ac:dyDescent="0.3">
      <c r="J722" s="459"/>
      <c r="K722" s="459"/>
    </row>
    <row r="723" spans="10:11" x14ac:dyDescent="0.3">
      <c r="J723" s="459"/>
      <c r="K723" s="459"/>
    </row>
    <row r="724" spans="10:11" x14ac:dyDescent="0.3">
      <c r="J724" s="459"/>
      <c r="K724" s="459"/>
    </row>
    <row r="725" spans="10:11" x14ac:dyDescent="0.3">
      <c r="J725" s="459"/>
      <c r="K725" s="459"/>
    </row>
    <row r="726" spans="10:11" x14ac:dyDescent="0.3">
      <c r="J726" s="459"/>
      <c r="K726" s="459"/>
    </row>
    <row r="727" spans="10:11" x14ac:dyDescent="0.3">
      <c r="J727" s="459"/>
      <c r="K727" s="459"/>
    </row>
    <row r="728" spans="10:11" x14ac:dyDescent="0.3">
      <c r="J728" s="459"/>
      <c r="K728" s="459"/>
    </row>
    <row r="729" spans="10:11" x14ac:dyDescent="0.3">
      <c r="J729" s="459"/>
      <c r="K729" s="459"/>
    </row>
    <row r="730" spans="10:11" x14ac:dyDescent="0.3">
      <c r="J730" s="459"/>
      <c r="K730" s="459"/>
    </row>
    <row r="731" spans="10:11" x14ac:dyDescent="0.3">
      <c r="J731" s="459"/>
      <c r="K731" s="459"/>
    </row>
    <row r="732" spans="10:11" x14ac:dyDescent="0.3">
      <c r="J732" s="459"/>
      <c r="K732" s="459"/>
    </row>
    <row r="733" spans="10:11" x14ac:dyDescent="0.3">
      <c r="J733" s="459"/>
      <c r="K733" s="459"/>
    </row>
    <row r="734" spans="10:11" x14ac:dyDescent="0.3">
      <c r="J734" s="459"/>
      <c r="K734" s="459"/>
    </row>
    <row r="735" spans="10:11" x14ac:dyDescent="0.3">
      <c r="J735" s="459"/>
      <c r="K735" s="459"/>
    </row>
    <row r="736" spans="10:11" x14ac:dyDescent="0.3">
      <c r="J736" s="459"/>
      <c r="K736" s="459"/>
    </row>
    <row r="737" spans="10:11" x14ac:dyDescent="0.3">
      <c r="J737" s="459"/>
      <c r="K737" s="459"/>
    </row>
    <row r="738" spans="10:11" x14ac:dyDescent="0.3">
      <c r="J738" s="459"/>
      <c r="K738" s="459"/>
    </row>
    <row r="739" spans="10:11" x14ac:dyDescent="0.3">
      <c r="J739" s="459"/>
      <c r="K739" s="459"/>
    </row>
    <row r="740" spans="10:11" x14ac:dyDescent="0.3">
      <c r="J740" s="459"/>
      <c r="K740" s="459"/>
    </row>
    <row r="741" spans="10:11" x14ac:dyDescent="0.3">
      <c r="J741" s="459"/>
      <c r="K741" s="459"/>
    </row>
    <row r="742" spans="10:11" x14ac:dyDescent="0.3">
      <c r="J742" s="459"/>
      <c r="K742" s="459"/>
    </row>
    <row r="743" spans="10:11" x14ac:dyDescent="0.3">
      <c r="J743" s="459"/>
      <c r="K743" s="459"/>
    </row>
    <row r="744" spans="10:11" x14ac:dyDescent="0.3">
      <c r="J744" s="459"/>
      <c r="K744" s="459"/>
    </row>
    <row r="745" spans="10:11" x14ac:dyDescent="0.3">
      <c r="J745" s="459"/>
      <c r="K745" s="459"/>
    </row>
    <row r="746" spans="10:11" x14ac:dyDescent="0.3">
      <c r="J746" s="459"/>
      <c r="K746" s="459"/>
    </row>
    <row r="747" spans="10:11" x14ac:dyDescent="0.3">
      <c r="J747" s="459"/>
      <c r="K747" s="459"/>
    </row>
    <row r="748" spans="10:11" x14ac:dyDescent="0.3">
      <c r="J748" s="459"/>
      <c r="K748" s="459"/>
    </row>
    <row r="749" spans="10:11" x14ac:dyDescent="0.3">
      <c r="J749" s="459"/>
      <c r="K749" s="459"/>
    </row>
    <row r="750" spans="10:11" x14ac:dyDescent="0.3">
      <c r="J750" s="459"/>
      <c r="K750" s="459"/>
    </row>
    <row r="751" spans="10:11" x14ac:dyDescent="0.3">
      <c r="J751" s="459"/>
      <c r="K751" s="459"/>
    </row>
    <row r="752" spans="10:11" x14ac:dyDescent="0.3">
      <c r="J752" s="459"/>
      <c r="K752" s="459"/>
    </row>
    <row r="753" spans="10:11" x14ac:dyDescent="0.3">
      <c r="J753" s="459"/>
      <c r="K753" s="459"/>
    </row>
    <row r="754" spans="10:11" x14ac:dyDescent="0.3">
      <c r="J754" s="459"/>
      <c r="K754" s="459"/>
    </row>
    <row r="755" spans="10:11" x14ac:dyDescent="0.3">
      <c r="J755" s="459"/>
      <c r="K755" s="459"/>
    </row>
    <row r="756" spans="10:11" x14ac:dyDescent="0.3">
      <c r="J756" s="459"/>
      <c r="K756" s="459"/>
    </row>
    <row r="757" spans="10:11" x14ac:dyDescent="0.3">
      <c r="J757" s="459"/>
      <c r="K757" s="459"/>
    </row>
    <row r="758" spans="10:11" x14ac:dyDescent="0.3">
      <c r="J758" s="459"/>
      <c r="K758" s="459"/>
    </row>
    <row r="759" spans="10:11" x14ac:dyDescent="0.3">
      <c r="J759" s="459"/>
      <c r="K759" s="459"/>
    </row>
    <row r="760" spans="10:11" x14ac:dyDescent="0.3">
      <c r="J760" s="459"/>
      <c r="K760" s="459"/>
    </row>
    <row r="761" spans="10:11" x14ac:dyDescent="0.3">
      <c r="J761" s="459"/>
      <c r="K761" s="459"/>
    </row>
    <row r="762" spans="10:11" x14ac:dyDescent="0.3">
      <c r="J762" s="459"/>
      <c r="K762" s="459"/>
    </row>
    <row r="763" spans="10:11" x14ac:dyDescent="0.3">
      <c r="J763" s="459"/>
      <c r="K763" s="459"/>
    </row>
    <row r="764" spans="10:11" x14ac:dyDescent="0.3">
      <c r="J764" s="459"/>
      <c r="K764" s="459"/>
    </row>
    <row r="765" spans="10:11" x14ac:dyDescent="0.3">
      <c r="J765" s="459"/>
      <c r="K765" s="459"/>
    </row>
    <row r="766" spans="10:11" x14ac:dyDescent="0.3">
      <c r="J766" s="459"/>
      <c r="K766" s="459"/>
    </row>
    <row r="767" spans="10:11" x14ac:dyDescent="0.3">
      <c r="J767" s="459"/>
      <c r="K767" s="459"/>
    </row>
    <row r="768" spans="10:11" x14ac:dyDescent="0.3">
      <c r="J768" s="459"/>
      <c r="K768" s="459"/>
    </row>
    <row r="769" spans="10:11" x14ac:dyDescent="0.3">
      <c r="J769" s="459"/>
      <c r="K769" s="459"/>
    </row>
    <row r="770" spans="10:11" x14ac:dyDescent="0.3">
      <c r="J770" s="459"/>
      <c r="K770" s="459"/>
    </row>
    <row r="771" spans="10:11" x14ac:dyDescent="0.3">
      <c r="J771" s="459"/>
      <c r="K771" s="459"/>
    </row>
    <row r="772" spans="10:11" x14ac:dyDescent="0.3">
      <c r="J772" s="459"/>
      <c r="K772" s="459"/>
    </row>
    <row r="773" spans="10:11" x14ac:dyDescent="0.3">
      <c r="J773" s="459"/>
      <c r="K773" s="459"/>
    </row>
    <row r="774" spans="10:11" x14ac:dyDescent="0.3">
      <c r="J774" s="459"/>
      <c r="K774" s="459"/>
    </row>
    <row r="775" spans="10:11" x14ac:dyDescent="0.3">
      <c r="J775" s="459"/>
      <c r="K775" s="459"/>
    </row>
    <row r="776" spans="10:11" x14ac:dyDescent="0.3">
      <c r="J776" s="459"/>
      <c r="K776" s="459"/>
    </row>
    <row r="777" spans="10:11" x14ac:dyDescent="0.3">
      <c r="J777" s="459"/>
      <c r="K777" s="459"/>
    </row>
    <row r="778" spans="10:11" x14ac:dyDescent="0.3">
      <c r="J778" s="459"/>
      <c r="K778" s="459"/>
    </row>
    <row r="779" spans="10:11" x14ac:dyDescent="0.3">
      <c r="J779" s="459"/>
      <c r="K779" s="459"/>
    </row>
    <row r="780" spans="10:11" x14ac:dyDescent="0.3">
      <c r="J780" s="459"/>
      <c r="K780" s="459"/>
    </row>
    <row r="781" spans="10:11" x14ac:dyDescent="0.3">
      <c r="J781" s="459"/>
      <c r="K781" s="459"/>
    </row>
    <row r="782" spans="10:11" x14ac:dyDescent="0.3">
      <c r="J782" s="459"/>
      <c r="K782" s="459"/>
    </row>
    <row r="783" spans="10:11" x14ac:dyDescent="0.3">
      <c r="J783" s="459"/>
      <c r="K783" s="459"/>
    </row>
    <row r="784" spans="10:11" x14ac:dyDescent="0.3">
      <c r="J784" s="459"/>
      <c r="K784" s="459"/>
    </row>
    <row r="785" spans="10:11" x14ac:dyDescent="0.3">
      <c r="J785" s="459"/>
      <c r="K785" s="459"/>
    </row>
    <row r="786" spans="10:11" x14ac:dyDescent="0.3">
      <c r="J786" s="459"/>
      <c r="K786" s="459"/>
    </row>
    <row r="787" spans="10:11" x14ac:dyDescent="0.3">
      <c r="J787" s="459"/>
      <c r="K787" s="459"/>
    </row>
    <row r="788" spans="10:11" x14ac:dyDescent="0.3">
      <c r="J788" s="459"/>
      <c r="K788" s="459"/>
    </row>
    <row r="789" spans="10:11" x14ac:dyDescent="0.3">
      <c r="J789" s="459"/>
      <c r="K789" s="459"/>
    </row>
    <row r="790" spans="10:11" x14ac:dyDescent="0.3">
      <c r="J790" s="459"/>
      <c r="K790" s="459"/>
    </row>
    <row r="791" spans="10:11" x14ac:dyDescent="0.3">
      <c r="J791" s="459"/>
      <c r="K791" s="459"/>
    </row>
    <row r="792" spans="10:11" x14ac:dyDescent="0.3">
      <c r="J792" s="459"/>
      <c r="K792" s="459"/>
    </row>
    <row r="793" spans="10:11" x14ac:dyDescent="0.3">
      <c r="J793" s="459"/>
      <c r="K793" s="459"/>
    </row>
    <row r="794" spans="10:11" x14ac:dyDescent="0.3">
      <c r="J794" s="459"/>
      <c r="K794" s="459"/>
    </row>
    <row r="795" spans="10:11" x14ac:dyDescent="0.3">
      <c r="J795" s="459"/>
      <c r="K795" s="459"/>
    </row>
    <row r="796" spans="10:11" x14ac:dyDescent="0.3">
      <c r="J796" s="459"/>
      <c r="K796" s="459"/>
    </row>
    <row r="797" spans="10:11" x14ac:dyDescent="0.3">
      <c r="J797" s="459"/>
      <c r="K797" s="459"/>
    </row>
    <row r="798" spans="10:11" x14ac:dyDescent="0.3">
      <c r="J798" s="459"/>
      <c r="K798" s="459"/>
    </row>
    <row r="799" spans="10:11" x14ac:dyDescent="0.3">
      <c r="J799" s="459"/>
      <c r="K799" s="459"/>
    </row>
    <row r="800" spans="10:11" x14ac:dyDescent="0.3">
      <c r="J800" s="459"/>
      <c r="K800" s="459"/>
    </row>
    <row r="801" spans="10:11" x14ac:dyDescent="0.3">
      <c r="J801" s="459"/>
      <c r="K801" s="459"/>
    </row>
    <row r="802" spans="10:11" x14ac:dyDescent="0.3">
      <c r="J802" s="459"/>
      <c r="K802" s="459"/>
    </row>
    <row r="803" spans="10:11" x14ac:dyDescent="0.3">
      <c r="J803" s="459"/>
      <c r="K803" s="459"/>
    </row>
    <row r="804" spans="10:11" x14ac:dyDescent="0.3">
      <c r="J804" s="459"/>
      <c r="K804" s="459"/>
    </row>
    <row r="805" spans="10:11" x14ac:dyDescent="0.3">
      <c r="J805" s="459"/>
      <c r="K805" s="459"/>
    </row>
    <row r="806" spans="10:11" x14ac:dyDescent="0.3">
      <c r="J806" s="459"/>
      <c r="K806" s="459"/>
    </row>
    <row r="807" spans="10:11" x14ac:dyDescent="0.3">
      <c r="J807" s="459"/>
      <c r="K807" s="459"/>
    </row>
    <row r="808" spans="10:11" x14ac:dyDescent="0.3">
      <c r="J808" s="459"/>
      <c r="K808" s="459"/>
    </row>
    <row r="809" spans="10:11" x14ac:dyDescent="0.3">
      <c r="J809" s="459"/>
      <c r="K809" s="459"/>
    </row>
    <row r="810" spans="10:11" x14ac:dyDescent="0.3">
      <c r="J810" s="459"/>
      <c r="K810" s="459"/>
    </row>
    <row r="811" spans="10:11" x14ac:dyDescent="0.3">
      <c r="J811" s="459"/>
      <c r="K811" s="459"/>
    </row>
    <row r="812" spans="10:11" x14ac:dyDescent="0.3">
      <c r="J812" s="459"/>
      <c r="K812" s="459"/>
    </row>
    <row r="813" spans="10:11" x14ac:dyDescent="0.3">
      <c r="J813" s="459"/>
      <c r="K813" s="459"/>
    </row>
    <row r="814" spans="10:11" x14ac:dyDescent="0.3">
      <c r="J814" s="459"/>
      <c r="K814" s="459"/>
    </row>
    <row r="815" spans="10:11" x14ac:dyDescent="0.3">
      <c r="J815" s="459"/>
      <c r="K815" s="459"/>
    </row>
    <row r="816" spans="10:11" x14ac:dyDescent="0.3">
      <c r="J816" s="459"/>
      <c r="K816" s="459"/>
    </row>
    <row r="817" spans="10:11" x14ac:dyDescent="0.3">
      <c r="J817" s="459"/>
      <c r="K817" s="459"/>
    </row>
    <row r="818" spans="10:11" x14ac:dyDescent="0.3">
      <c r="J818" s="459"/>
      <c r="K818" s="459"/>
    </row>
    <row r="819" spans="10:11" x14ac:dyDescent="0.3">
      <c r="J819" s="459"/>
      <c r="K819" s="459"/>
    </row>
    <row r="820" spans="10:11" x14ac:dyDescent="0.3">
      <c r="J820" s="459"/>
      <c r="K820" s="459"/>
    </row>
    <row r="821" spans="10:11" x14ac:dyDescent="0.3">
      <c r="J821" s="459"/>
      <c r="K821" s="459"/>
    </row>
    <row r="822" spans="10:11" x14ac:dyDescent="0.3">
      <c r="J822" s="459"/>
      <c r="K822" s="459"/>
    </row>
    <row r="823" spans="10:11" x14ac:dyDescent="0.3">
      <c r="J823" s="459"/>
      <c r="K823" s="459"/>
    </row>
    <row r="824" spans="10:11" x14ac:dyDescent="0.3">
      <c r="J824" s="459"/>
      <c r="K824" s="459"/>
    </row>
    <row r="825" spans="10:11" x14ac:dyDescent="0.3">
      <c r="J825" s="459"/>
      <c r="K825" s="459"/>
    </row>
    <row r="826" spans="10:11" x14ac:dyDescent="0.3">
      <c r="J826" s="459"/>
      <c r="K826" s="459"/>
    </row>
    <row r="827" spans="10:11" x14ac:dyDescent="0.3">
      <c r="J827" s="459"/>
      <c r="K827" s="459"/>
    </row>
    <row r="828" spans="10:11" x14ac:dyDescent="0.3">
      <c r="J828" s="459"/>
      <c r="K828" s="459"/>
    </row>
    <row r="829" spans="10:11" x14ac:dyDescent="0.3">
      <c r="J829" s="459"/>
      <c r="K829" s="459"/>
    </row>
    <row r="830" spans="10:11" x14ac:dyDescent="0.3">
      <c r="J830" s="459"/>
      <c r="K830" s="459"/>
    </row>
    <row r="831" spans="10:11" x14ac:dyDescent="0.3">
      <c r="J831" s="459"/>
      <c r="K831" s="459"/>
    </row>
    <row r="832" spans="10:11" x14ac:dyDescent="0.3">
      <c r="J832" s="459"/>
      <c r="K832" s="459"/>
    </row>
    <row r="833" spans="10:11" x14ac:dyDescent="0.3">
      <c r="J833" s="459"/>
      <c r="K833" s="459"/>
    </row>
    <row r="834" spans="10:11" x14ac:dyDescent="0.3">
      <c r="J834" s="459"/>
      <c r="K834" s="459"/>
    </row>
    <row r="835" spans="10:11" x14ac:dyDescent="0.3">
      <c r="J835" s="459"/>
      <c r="K835" s="459"/>
    </row>
    <row r="836" spans="10:11" x14ac:dyDescent="0.3">
      <c r="J836" s="459"/>
      <c r="K836" s="459"/>
    </row>
    <row r="837" spans="10:11" x14ac:dyDescent="0.3">
      <c r="J837" s="459"/>
      <c r="K837" s="459"/>
    </row>
    <row r="838" spans="10:11" x14ac:dyDescent="0.3">
      <c r="J838" s="459"/>
      <c r="K838" s="459"/>
    </row>
    <row r="839" spans="10:11" x14ac:dyDescent="0.3">
      <c r="J839" s="459"/>
      <c r="K839" s="459"/>
    </row>
    <row r="840" spans="10:11" x14ac:dyDescent="0.3">
      <c r="J840" s="459"/>
      <c r="K840" s="459"/>
    </row>
    <row r="841" spans="10:11" x14ac:dyDescent="0.3">
      <c r="J841" s="459"/>
      <c r="K841" s="459"/>
    </row>
    <row r="842" spans="10:11" x14ac:dyDescent="0.3">
      <c r="J842" s="459"/>
      <c r="K842" s="459"/>
    </row>
    <row r="843" spans="10:11" x14ac:dyDescent="0.3">
      <c r="J843" s="459"/>
      <c r="K843" s="459"/>
    </row>
    <row r="844" spans="10:11" x14ac:dyDescent="0.3">
      <c r="J844" s="459"/>
      <c r="K844" s="459"/>
    </row>
    <row r="845" spans="10:11" x14ac:dyDescent="0.3">
      <c r="J845" s="459"/>
      <c r="K845" s="459"/>
    </row>
    <row r="846" spans="10:11" x14ac:dyDescent="0.3">
      <c r="J846" s="459"/>
      <c r="K846" s="459"/>
    </row>
    <row r="847" spans="10:11" x14ac:dyDescent="0.3">
      <c r="J847" s="459"/>
      <c r="K847" s="459"/>
    </row>
    <row r="848" spans="10:11" x14ac:dyDescent="0.3">
      <c r="J848" s="459"/>
      <c r="K848" s="459"/>
    </row>
    <row r="849" spans="10:11" x14ac:dyDescent="0.3">
      <c r="J849" s="459"/>
      <c r="K849" s="459"/>
    </row>
    <row r="850" spans="10:11" x14ac:dyDescent="0.3">
      <c r="J850" s="459"/>
      <c r="K850" s="459"/>
    </row>
    <row r="851" spans="10:11" x14ac:dyDescent="0.3">
      <c r="J851" s="459"/>
      <c r="K851" s="459"/>
    </row>
    <row r="852" spans="10:11" x14ac:dyDescent="0.3">
      <c r="J852" s="459"/>
      <c r="K852" s="459"/>
    </row>
    <row r="853" spans="10:11" x14ac:dyDescent="0.3">
      <c r="J853" s="459"/>
      <c r="K853" s="459"/>
    </row>
    <row r="854" spans="10:11" x14ac:dyDescent="0.3">
      <c r="J854" s="459"/>
      <c r="K854" s="459"/>
    </row>
    <row r="855" spans="10:11" x14ac:dyDescent="0.3">
      <c r="J855" s="459"/>
      <c r="K855" s="459"/>
    </row>
    <row r="856" spans="10:11" x14ac:dyDescent="0.3">
      <c r="J856" s="459"/>
      <c r="K856" s="459"/>
    </row>
    <row r="857" spans="10:11" x14ac:dyDescent="0.3">
      <c r="J857" s="459"/>
      <c r="K857" s="459"/>
    </row>
    <row r="858" spans="10:11" x14ac:dyDescent="0.3">
      <c r="J858" s="459"/>
      <c r="K858" s="459"/>
    </row>
    <row r="859" spans="10:11" x14ac:dyDescent="0.3">
      <c r="J859" s="459"/>
      <c r="K859" s="459"/>
    </row>
    <row r="860" spans="10:11" x14ac:dyDescent="0.3">
      <c r="J860" s="459"/>
      <c r="K860" s="459"/>
    </row>
    <row r="861" spans="10:11" x14ac:dyDescent="0.3">
      <c r="J861" s="459"/>
      <c r="K861" s="459"/>
    </row>
    <row r="862" spans="10:11" x14ac:dyDescent="0.3">
      <c r="J862" s="459"/>
      <c r="K862" s="459"/>
    </row>
    <row r="863" spans="10:11" x14ac:dyDescent="0.3">
      <c r="J863" s="459"/>
      <c r="K863" s="459"/>
    </row>
    <row r="864" spans="10:11" x14ac:dyDescent="0.3">
      <c r="J864" s="459"/>
      <c r="K864" s="459"/>
    </row>
    <row r="865" spans="10:11" x14ac:dyDescent="0.3">
      <c r="J865" s="459"/>
      <c r="K865" s="459"/>
    </row>
    <row r="866" spans="10:11" x14ac:dyDescent="0.3">
      <c r="J866" s="459"/>
      <c r="K866" s="459"/>
    </row>
    <row r="867" spans="10:11" x14ac:dyDescent="0.3">
      <c r="J867" s="459"/>
      <c r="K867" s="459"/>
    </row>
    <row r="868" spans="10:11" x14ac:dyDescent="0.3">
      <c r="J868" s="459"/>
      <c r="K868" s="459"/>
    </row>
    <row r="869" spans="10:11" x14ac:dyDescent="0.3">
      <c r="J869" s="459"/>
      <c r="K869" s="459"/>
    </row>
    <row r="870" spans="10:11" x14ac:dyDescent="0.3">
      <c r="J870" s="459"/>
      <c r="K870" s="459"/>
    </row>
    <row r="871" spans="10:11" x14ac:dyDescent="0.3">
      <c r="J871" s="459"/>
      <c r="K871" s="459"/>
    </row>
    <row r="872" spans="10:11" x14ac:dyDescent="0.3">
      <c r="J872" s="459"/>
      <c r="K872" s="459"/>
    </row>
    <row r="873" spans="10:11" x14ac:dyDescent="0.3">
      <c r="J873" s="459"/>
      <c r="K873" s="459"/>
    </row>
    <row r="874" spans="10:11" x14ac:dyDescent="0.3">
      <c r="J874" s="459"/>
      <c r="K874" s="459"/>
    </row>
    <row r="875" spans="10:11" x14ac:dyDescent="0.3">
      <c r="J875" s="459"/>
      <c r="K875" s="459"/>
    </row>
    <row r="876" spans="10:11" x14ac:dyDescent="0.3">
      <c r="J876" s="459"/>
      <c r="K876" s="459"/>
    </row>
    <row r="877" spans="10:11" x14ac:dyDescent="0.3">
      <c r="J877" s="459"/>
      <c r="K877" s="459"/>
    </row>
    <row r="878" spans="10:11" x14ac:dyDescent="0.3">
      <c r="J878" s="459"/>
      <c r="K878" s="459"/>
    </row>
    <row r="879" spans="10:11" x14ac:dyDescent="0.3">
      <c r="J879" s="459"/>
      <c r="K879" s="459"/>
    </row>
    <row r="880" spans="10:11" x14ac:dyDescent="0.3">
      <c r="J880" s="459"/>
      <c r="K880" s="459"/>
    </row>
    <row r="881" spans="10:11" x14ac:dyDescent="0.3">
      <c r="J881" s="459"/>
      <c r="K881" s="459"/>
    </row>
    <row r="882" spans="10:11" x14ac:dyDescent="0.3">
      <c r="J882" s="459"/>
      <c r="K882" s="459"/>
    </row>
    <row r="883" spans="10:11" x14ac:dyDescent="0.3">
      <c r="J883" s="459"/>
      <c r="K883" s="459"/>
    </row>
    <row r="884" spans="10:11" x14ac:dyDescent="0.3">
      <c r="J884" s="459"/>
      <c r="K884" s="459"/>
    </row>
    <row r="885" spans="10:11" x14ac:dyDescent="0.3">
      <c r="J885" s="459"/>
      <c r="K885" s="459"/>
    </row>
    <row r="886" spans="10:11" x14ac:dyDescent="0.3">
      <c r="J886" s="459"/>
      <c r="K886" s="459"/>
    </row>
    <row r="887" spans="10:11" x14ac:dyDescent="0.3">
      <c r="J887" s="459"/>
      <c r="K887" s="459"/>
    </row>
    <row r="888" spans="10:11" x14ac:dyDescent="0.3">
      <c r="J888" s="459"/>
      <c r="K888" s="459"/>
    </row>
    <row r="889" spans="10:11" x14ac:dyDescent="0.3">
      <c r="J889" s="459"/>
      <c r="K889" s="459"/>
    </row>
    <row r="890" spans="10:11" x14ac:dyDescent="0.3">
      <c r="J890" s="459"/>
      <c r="K890" s="459"/>
    </row>
    <row r="891" spans="10:11" x14ac:dyDescent="0.3">
      <c r="J891" s="459"/>
      <c r="K891" s="459"/>
    </row>
    <row r="892" spans="10:11" x14ac:dyDescent="0.3">
      <c r="J892" s="459"/>
      <c r="K892" s="459"/>
    </row>
    <row r="893" spans="10:11" x14ac:dyDescent="0.3">
      <c r="J893" s="459"/>
      <c r="K893" s="459"/>
    </row>
    <row r="894" spans="10:11" x14ac:dyDescent="0.3">
      <c r="J894" s="459"/>
      <c r="K894" s="459"/>
    </row>
    <row r="895" spans="10:11" x14ac:dyDescent="0.3">
      <c r="J895" s="459"/>
      <c r="K895" s="459"/>
    </row>
    <row r="896" spans="10:11" x14ac:dyDescent="0.3">
      <c r="J896" s="459"/>
      <c r="K896" s="459"/>
    </row>
    <row r="897" spans="10:11" x14ac:dyDescent="0.3">
      <c r="J897" s="459"/>
      <c r="K897" s="459"/>
    </row>
    <row r="898" spans="10:11" x14ac:dyDescent="0.3">
      <c r="J898" s="459"/>
      <c r="K898" s="459"/>
    </row>
    <row r="899" spans="10:11" x14ac:dyDescent="0.3">
      <c r="J899" s="459"/>
      <c r="K899" s="459"/>
    </row>
    <row r="900" spans="10:11" x14ac:dyDescent="0.3">
      <c r="J900" s="459"/>
      <c r="K900" s="459"/>
    </row>
    <row r="901" spans="10:11" x14ac:dyDescent="0.3">
      <c r="J901" s="459"/>
      <c r="K901" s="459"/>
    </row>
    <row r="902" spans="10:11" x14ac:dyDescent="0.3">
      <c r="J902" s="459"/>
      <c r="K902" s="459"/>
    </row>
    <row r="903" spans="10:11" x14ac:dyDescent="0.3">
      <c r="J903" s="459"/>
      <c r="K903" s="459"/>
    </row>
    <row r="904" spans="10:11" x14ac:dyDescent="0.3">
      <c r="J904" s="459"/>
      <c r="K904" s="459"/>
    </row>
    <row r="905" spans="10:11" x14ac:dyDescent="0.3">
      <c r="J905" s="459"/>
      <c r="K905" s="459"/>
    </row>
    <row r="906" spans="10:11" x14ac:dyDescent="0.3">
      <c r="J906" s="459"/>
      <c r="K906" s="459"/>
    </row>
    <row r="907" spans="10:11" x14ac:dyDescent="0.3">
      <c r="J907" s="459"/>
      <c r="K907" s="459"/>
    </row>
    <row r="908" spans="10:11" x14ac:dyDescent="0.3">
      <c r="J908" s="459"/>
      <c r="K908" s="459"/>
    </row>
    <row r="909" spans="10:11" x14ac:dyDescent="0.3">
      <c r="J909" s="459"/>
      <c r="K909" s="459"/>
    </row>
    <row r="910" spans="10:11" x14ac:dyDescent="0.3">
      <c r="J910" s="459"/>
      <c r="K910" s="459"/>
    </row>
    <row r="911" spans="10:11" x14ac:dyDescent="0.3">
      <c r="J911" s="459"/>
      <c r="K911" s="459"/>
    </row>
    <row r="912" spans="10:11" x14ac:dyDescent="0.3">
      <c r="J912" s="459"/>
      <c r="K912" s="459"/>
    </row>
    <row r="913" spans="10:11" x14ac:dyDescent="0.3">
      <c r="J913" s="459"/>
      <c r="K913" s="459"/>
    </row>
    <row r="914" spans="10:11" x14ac:dyDescent="0.3">
      <c r="J914" s="459"/>
      <c r="K914" s="459"/>
    </row>
    <row r="915" spans="10:11" x14ac:dyDescent="0.3">
      <c r="J915" s="459"/>
      <c r="K915" s="459"/>
    </row>
    <row r="916" spans="10:11" x14ac:dyDescent="0.3">
      <c r="J916" s="459"/>
      <c r="K916" s="459"/>
    </row>
    <row r="917" spans="10:11" x14ac:dyDescent="0.3">
      <c r="J917" s="459"/>
      <c r="K917" s="459"/>
    </row>
    <row r="918" spans="10:11" x14ac:dyDescent="0.3">
      <c r="J918" s="459"/>
      <c r="K918" s="459"/>
    </row>
    <row r="919" spans="10:11" x14ac:dyDescent="0.3">
      <c r="J919" s="459"/>
      <c r="K919" s="459"/>
    </row>
    <row r="920" spans="10:11" x14ac:dyDescent="0.3">
      <c r="J920" s="459"/>
      <c r="K920" s="459"/>
    </row>
    <row r="921" spans="10:11" x14ac:dyDescent="0.3">
      <c r="J921" s="459"/>
      <c r="K921" s="459"/>
    </row>
    <row r="922" spans="10:11" x14ac:dyDescent="0.3">
      <c r="J922" s="459"/>
      <c r="K922" s="459"/>
    </row>
    <row r="923" spans="10:11" x14ac:dyDescent="0.3">
      <c r="J923" s="459"/>
      <c r="K923" s="459"/>
    </row>
    <row r="924" spans="10:11" x14ac:dyDescent="0.3">
      <c r="J924" s="459"/>
      <c r="K924" s="459"/>
    </row>
    <row r="925" spans="10:11" x14ac:dyDescent="0.3">
      <c r="J925" s="459"/>
      <c r="K925" s="459"/>
    </row>
    <row r="926" spans="10:11" x14ac:dyDescent="0.3">
      <c r="J926" s="459"/>
      <c r="K926" s="459"/>
    </row>
    <row r="927" spans="10:11" x14ac:dyDescent="0.3">
      <c r="J927" s="459"/>
      <c r="K927" s="459"/>
    </row>
    <row r="928" spans="10:11" x14ac:dyDescent="0.3">
      <c r="J928" s="459"/>
      <c r="K928" s="459"/>
    </row>
    <row r="929" spans="10:11" x14ac:dyDescent="0.3">
      <c r="J929" s="459"/>
      <c r="K929" s="459"/>
    </row>
    <row r="930" spans="10:11" x14ac:dyDescent="0.3">
      <c r="J930" s="459"/>
      <c r="K930" s="459"/>
    </row>
    <row r="931" spans="10:11" x14ac:dyDescent="0.3">
      <c r="J931" s="459"/>
      <c r="K931" s="459"/>
    </row>
    <row r="932" spans="10:11" x14ac:dyDescent="0.3">
      <c r="J932" s="459"/>
      <c r="K932" s="459"/>
    </row>
    <row r="933" spans="10:11" x14ac:dyDescent="0.3">
      <c r="J933" s="459"/>
      <c r="K933" s="459"/>
    </row>
    <row r="934" spans="10:11" x14ac:dyDescent="0.3">
      <c r="J934" s="459"/>
      <c r="K934" s="459"/>
    </row>
    <row r="935" spans="10:11" x14ac:dyDescent="0.3">
      <c r="J935" s="459"/>
      <c r="K935" s="459"/>
    </row>
    <row r="936" spans="10:11" x14ac:dyDescent="0.3">
      <c r="J936" s="459"/>
      <c r="K936" s="459"/>
    </row>
    <row r="937" spans="10:11" x14ac:dyDescent="0.3">
      <c r="J937" s="459"/>
      <c r="K937" s="459"/>
    </row>
    <row r="938" spans="10:11" x14ac:dyDescent="0.3">
      <c r="J938" s="459"/>
      <c r="K938" s="459"/>
    </row>
    <row r="939" spans="10:11" x14ac:dyDescent="0.3">
      <c r="J939" s="459"/>
      <c r="K939" s="459"/>
    </row>
    <row r="940" spans="10:11" x14ac:dyDescent="0.3">
      <c r="J940" s="459"/>
      <c r="K940" s="459"/>
    </row>
    <row r="941" spans="10:11" x14ac:dyDescent="0.3">
      <c r="J941" s="459"/>
      <c r="K941" s="459"/>
    </row>
    <row r="942" spans="10:11" x14ac:dyDescent="0.3">
      <c r="J942" s="459"/>
      <c r="K942" s="459"/>
    </row>
    <row r="943" spans="10:11" x14ac:dyDescent="0.3">
      <c r="J943" s="459"/>
      <c r="K943" s="459"/>
    </row>
    <row r="944" spans="10:11" x14ac:dyDescent="0.3">
      <c r="J944" s="459"/>
      <c r="K944" s="459"/>
    </row>
    <row r="945" spans="10:11" x14ac:dyDescent="0.3">
      <c r="J945" s="459"/>
      <c r="K945" s="459"/>
    </row>
    <row r="946" spans="10:11" x14ac:dyDescent="0.3">
      <c r="J946" s="459"/>
      <c r="K946" s="459"/>
    </row>
    <row r="947" spans="10:11" x14ac:dyDescent="0.3">
      <c r="J947" s="459"/>
      <c r="K947" s="459"/>
    </row>
    <row r="948" spans="10:11" x14ac:dyDescent="0.3">
      <c r="J948" s="459"/>
      <c r="K948" s="459"/>
    </row>
    <row r="949" spans="10:11" x14ac:dyDescent="0.3">
      <c r="J949" s="459"/>
      <c r="K949" s="459"/>
    </row>
    <row r="950" spans="10:11" x14ac:dyDescent="0.3">
      <c r="J950" s="459"/>
      <c r="K950" s="459"/>
    </row>
    <row r="951" spans="10:11" x14ac:dyDescent="0.3">
      <c r="J951" s="459"/>
      <c r="K951" s="459"/>
    </row>
    <row r="952" spans="10:11" x14ac:dyDescent="0.3">
      <c r="J952" s="459"/>
      <c r="K952" s="459"/>
    </row>
    <row r="953" spans="10:11" x14ac:dyDescent="0.3">
      <c r="J953" s="459"/>
      <c r="K953" s="459"/>
    </row>
    <row r="954" spans="10:11" x14ac:dyDescent="0.3">
      <c r="J954" s="459"/>
      <c r="K954" s="459"/>
    </row>
    <row r="955" spans="10:11" x14ac:dyDescent="0.3">
      <c r="J955" s="459"/>
      <c r="K955" s="459"/>
    </row>
    <row r="956" spans="10:11" x14ac:dyDescent="0.3">
      <c r="J956" s="459"/>
      <c r="K956" s="459"/>
    </row>
    <row r="957" spans="10:11" x14ac:dyDescent="0.3">
      <c r="J957" s="459"/>
      <c r="K957" s="459"/>
    </row>
    <row r="958" spans="10:11" x14ac:dyDescent="0.3">
      <c r="J958" s="459"/>
      <c r="K958" s="459"/>
    </row>
    <row r="959" spans="10:11" x14ac:dyDescent="0.3">
      <c r="J959" s="459"/>
      <c r="K959" s="459"/>
    </row>
    <row r="960" spans="10:11" x14ac:dyDescent="0.3">
      <c r="J960" s="459"/>
      <c r="K960" s="459"/>
    </row>
    <row r="961" spans="10:11" x14ac:dyDescent="0.3">
      <c r="J961" s="459"/>
      <c r="K961" s="459"/>
    </row>
    <row r="962" spans="10:11" x14ac:dyDescent="0.3">
      <c r="J962" s="459"/>
      <c r="K962" s="459"/>
    </row>
    <row r="963" spans="10:11" x14ac:dyDescent="0.3">
      <c r="J963" s="459"/>
      <c r="K963" s="459"/>
    </row>
    <row r="964" spans="10:11" x14ac:dyDescent="0.3">
      <c r="J964" s="459"/>
      <c r="K964" s="459"/>
    </row>
    <row r="965" spans="10:11" x14ac:dyDescent="0.3">
      <c r="J965" s="459"/>
      <c r="K965" s="459"/>
    </row>
    <row r="966" spans="10:11" x14ac:dyDescent="0.3">
      <c r="J966" s="459"/>
      <c r="K966" s="459"/>
    </row>
    <row r="967" spans="10:11" x14ac:dyDescent="0.3">
      <c r="J967" s="459"/>
      <c r="K967" s="459"/>
    </row>
    <row r="968" spans="10:11" x14ac:dyDescent="0.3">
      <c r="J968" s="459"/>
      <c r="K968" s="459"/>
    </row>
    <row r="969" spans="10:11" x14ac:dyDescent="0.3">
      <c r="J969" s="459"/>
      <c r="K969" s="459"/>
    </row>
    <row r="970" spans="10:11" x14ac:dyDescent="0.3">
      <c r="J970" s="459"/>
      <c r="K970" s="459"/>
    </row>
    <row r="971" spans="10:11" x14ac:dyDescent="0.3">
      <c r="J971" s="459"/>
      <c r="K971" s="459"/>
    </row>
    <row r="972" spans="10:11" x14ac:dyDescent="0.3">
      <c r="J972" s="459"/>
      <c r="K972" s="459"/>
    </row>
    <row r="973" spans="10:11" x14ac:dyDescent="0.3">
      <c r="J973" s="459"/>
      <c r="K973" s="459"/>
    </row>
    <row r="974" spans="10:11" x14ac:dyDescent="0.3">
      <c r="J974" s="459"/>
      <c r="K974" s="459"/>
    </row>
    <row r="975" spans="10:11" x14ac:dyDescent="0.3">
      <c r="J975" s="459"/>
      <c r="K975" s="459"/>
    </row>
    <row r="976" spans="10:11" x14ac:dyDescent="0.3">
      <c r="J976" s="459"/>
      <c r="K976" s="459"/>
    </row>
    <row r="977" spans="10:11" x14ac:dyDescent="0.3">
      <c r="J977" s="459"/>
      <c r="K977" s="459"/>
    </row>
    <row r="978" spans="10:11" x14ac:dyDescent="0.3">
      <c r="J978" s="459"/>
      <c r="K978" s="459"/>
    </row>
    <row r="979" spans="10:11" x14ac:dyDescent="0.3">
      <c r="J979" s="459"/>
      <c r="K979" s="459"/>
    </row>
    <row r="980" spans="10:11" x14ac:dyDescent="0.3">
      <c r="J980" s="459"/>
      <c r="K980" s="459"/>
    </row>
    <row r="981" spans="10:11" x14ac:dyDescent="0.3">
      <c r="J981" s="459"/>
      <c r="K981" s="459"/>
    </row>
    <row r="982" spans="10:11" x14ac:dyDescent="0.3">
      <c r="J982" s="459"/>
      <c r="K982" s="459"/>
    </row>
    <row r="983" spans="10:11" x14ac:dyDescent="0.3">
      <c r="J983" s="459"/>
      <c r="K983" s="459"/>
    </row>
    <row r="984" spans="10:11" x14ac:dyDescent="0.3">
      <c r="J984" s="459"/>
      <c r="K984" s="459"/>
    </row>
    <row r="985" spans="10:11" x14ac:dyDescent="0.3">
      <c r="J985" s="459"/>
      <c r="K985" s="459"/>
    </row>
    <row r="986" spans="10:11" x14ac:dyDescent="0.3">
      <c r="J986" s="459"/>
      <c r="K986" s="459"/>
    </row>
    <row r="987" spans="10:11" x14ac:dyDescent="0.3">
      <c r="J987" s="459"/>
      <c r="K987" s="459"/>
    </row>
    <row r="988" spans="10:11" x14ac:dyDescent="0.3">
      <c r="J988" s="459"/>
      <c r="K988" s="459"/>
    </row>
    <row r="989" spans="10:11" x14ac:dyDescent="0.3">
      <c r="J989" s="459"/>
      <c r="K989" s="459"/>
    </row>
    <row r="990" spans="10:11" x14ac:dyDescent="0.3">
      <c r="J990" s="459"/>
      <c r="K990" s="459"/>
    </row>
    <row r="991" spans="10:11" x14ac:dyDescent="0.3">
      <c r="J991" s="459"/>
      <c r="K991" s="459"/>
    </row>
    <row r="992" spans="10:11" x14ac:dyDescent="0.3">
      <c r="J992" s="459"/>
      <c r="K992" s="459"/>
    </row>
    <row r="993" spans="10:11" x14ac:dyDescent="0.3">
      <c r="J993" s="459"/>
      <c r="K993" s="459"/>
    </row>
    <row r="994" spans="10:11" x14ac:dyDescent="0.3">
      <c r="J994" s="459"/>
      <c r="K994" s="459"/>
    </row>
    <row r="995" spans="10:11" x14ac:dyDescent="0.3">
      <c r="J995" s="459"/>
      <c r="K995" s="459"/>
    </row>
    <row r="996" spans="10:11" x14ac:dyDescent="0.3">
      <c r="J996" s="459"/>
      <c r="K996" s="459"/>
    </row>
    <row r="997" spans="10:11" x14ac:dyDescent="0.3">
      <c r="J997" s="459"/>
      <c r="K997" s="459"/>
    </row>
    <row r="998" spans="10:11" x14ac:dyDescent="0.3">
      <c r="J998" s="459"/>
      <c r="K998" s="459"/>
    </row>
    <row r="999" spans="10:11" x14ac:dyDescent="0.3">
      <c r="J999" s="459"/>
      <c r="K999" s="459"/>
    </row>
    <row r="1000" spans="10:11" x14ac:dyDescent="0.3">
      <c r="J1000" s="459"/>
      <c r="K1000" s="459"/>
    </row>
    <row r="1001" spans="10:11" x14ac:dyDescent="0.3">
      <c r="J1001" s="459"/>
      <c r="K1001" s="459"/>
    </row>
    <row r="1002" spans="10:11" x14ac:dyDescent="0.3">
      <c r="J1002" s="459"/>
      <c r="K1002" s="459"/>
    </row>
    <row r="1003" spans="10:11" x14ac:dyDescent="0.3">
      <c r="J1003" s="459"/>
      <c r="K1003" s="459"/>
    </row>
    <row r="1004" spans="10:11" x14ac:dyDescent="0.3">
      <c r="J1004" s="459"/>
      <c r="K1004" s="459"/>
    </row>
    <row r="1005" spans="10:11" x14ac:dyDescent="0.3">
      <c r="J1005" s="459"/>
      <c r="K1005" s="459"/>
    </row>
    <row r="1006" spans="10:11" x14ac:dyDescent="0.3">
      <c r="J1006" s="459"/>
      <c r="K1006" s="459"/>
    </row>
    <row r="1007" spans="10:11" x14ac:dyDescent="0.3">
      <c r="J1007" s="459"/>
      <c r="K1007" s="459"/>
    </row>
    <row r="1008" spans="10:11" x14ac:dyDescent="0.3">
      <c r="J1008" s="459"/>
      <c r="K1008" s="459"/>
    </row>
    <row r="1009" spans="10:11" x14ac:dyDescent="0.3">
      <c r="J1009" s="459"/>
      <c r="K1009" s="459"/>
    </row>
    <row r="1010" spans="10:11" x14ac:dyDescent="0.3">
      <c r="J1010" s="459"/>
      <c r="K1010" s="459"/>
    </row>
    <row r="1011" spans="10:11" x14ac:dyDescent="0.3">
      <c r="J1011" s="459"/>
      <c r="K1011" s="459"/>
    </row>
    <row r="1012" spans="10:11" x14ac:dyDescent="0.3">
      <c r="J1012" s="459"/>
      <c r="K1012" s="459"/>
    </row>
    <row r="1013" spans="10:11" x14ac:dyDescent="0.3">
      <c r="J1013" s="459"/>
      <c r="K1013" s="459"/>
    </row>
    <row r="1014" spans="10:11" x14ac:dyDescent="0.3">
      <c r="J1014" s="459"/>
      <c r="K1014" s="459"/>
    </row>
    <row r="1015" spans="10:11" x14ac:dyDescent="0.3">
      <c r="J1015" s="459"/>
      <c r="K1015" s="459"/>
    </row>
    <row r="1016" spans="10:11" x14ac:dyDescent="0.3">
      <c r="J1016" s="459"/>
      <c r="K1016" s="459"/>
    </row>
    <row r="1017" spans="10:11" x14ac:dyDescent="0.3">
      <c r="J1017" s="459"/>
      <c r="K1017" s="459"/>
    </row>
    <row r="1018" spans="10:11" x14ac:dyDescent="0.3">
      <c r="J1018" s="459"/>
      <c r="K1018" s="459"/>
    </row>
    <row r="1019" spans="10:11" x14ac:dyDescent="0.3">
      <c r="J1019" s="459"/>
      <c r="K1019" s="459"/>
    </row>
    <row r="1020" spans="10:11" x14ac:dyDescent="0.3">
      <c r="J1020" s="459"/>
      <c r="K1020" s="459"/>
    </row>
    <row r="1021" spans="10:11" x14ac:dyDescent="0.3">
      <c r="J1021" s="459"/>
      <c r="K1021" s="459"/>
    </row>
    <row r="1022" spans="10:11" x14ac:dyDescent="0.3">
      <c r="J1022" s="459"/>
      <c r="K1022" s="459"/>
    </row>
    <row r="1023" spans="10:11" x14ac:dyDescent="0.3">
      <c r="J1023" s="459"/>
      <c r="K1023" s="459"/>
    </row>
    <row r="1024" spans="10:11" x14ac:dyDescent="0.3">
      <c r="J1024" s="459"/>
      <c r="K1024" s="459"/>
    </row>
    <row r="1025" spans="10:11" x14ac:dyDescent="0.3">
      <c r="J1025" s="459"/>
      <c r="K1025" s="459"/>
    </row>
    <row r="1026" spans="10:11" x14ac:dyDescent="0.3">
      <c r="J1026" s="459"/>
      <c r="K1026" s="459"/>
    </row>
    <row r="1027" spans="10:11" x14ac:dyDescent="0.3">
      <c r="J1027" s="459"/>
      <c r="K1027" s="459"/>
    </row>
    <row r="1028" spans="10:11" x14ac:dyDescent="0.3">
      <c r="J1028" s="459"/>
      <c r="K1028" s="459"/>
    </row>
    <row r="1029" spans="10:11" x14ac:dyDescent="0.3">
      <c r="J1029" s="459"/>
      <c r="K1029" s="459"/>
    </row>
    <row r="1030" spans="10:11" x14ac:dyDescent="0.3">
      <c r="J1030" s="459"/>
      <c r="K1030" s="459"/>
    </row>
    <row r="1031" spans="10:11" x14ac:dyDescent="0.3">
      <c r="J1031" s="459"/>
      <c r="K1031" s="459"/>
    </row>
    <row r="1032" spans="10:11" x14ac:dyDescent="0.3">
      <c r="J1032" s="459"/>
      <c r="K1032" s="459"/>
    </row>
    <row r="1033" spans="10:11" x14ac:dyDescent="0.3">
      <c r="J1033" s="459"/>
      <c r="K1033" s="459"/>
    </row>
    <row r="1034" spans="10:11" x14ac:dyDescent="0.3">
      <c r="J1034" s="459"/>
      <c r="K1034" s="459"/>
    </row>
    <row r="1035" spans="10:11" x14ac:dyDescent="0.3">
      <c r="J1035" s="459"/>
      <c r="K1035" s="459"/>
    </row>
    <row r="1036" spans="10:11" x14ac:dyDescent="0.3">
      <c r="J1036" s="459"/>
      <c r="K1036" s="459"/>
    </row>
    <row r="1037" spans="10:11" x14ac:dyDescent="0.3">
      <c r="J1037" s="459"/>
      <c r="K1037" s="459"/>
    </row>
    <row r="1038" spans="10:11" x14ac:dyDescent="0.3">
      <c r="J1038" s="459"/>
      <c r="K1038" s="459"/>
    </row>
    <row r="1039" spans="10:11" x14ac:dyDescent="0.3">
      <c r="J1039" s="459"/>
      <c r="K1039" s="459"/>
    </row>
    <row r="1040" spans="10:11" x14ac:dyDescent="0.3">
      <c r="J1040" s="459"/>
      <c r="K1040" s="459"/>
    </row>
    <row r="1041" spans="10:11" x14ac:dyDescent="0.3">
      <c r="J1041" s="459"/>
      <c r="K1041" s="459"/>
    </row>
    <row r="1042" spans="10:11" x14ac:dyDescent="0.3">
      <c r="J1042" s="459"/>
      <c r="K1042" s="459"/>
    </row>
    <row r="1043" spans="10:11" x14ac:dyDescent="0.3">
      <c r="J1043" s="459"/>
      <c r="K1043" s="459"/>
    </row>
    <row r="1044" spans="10:11" x14ac:dyDescent="0.3">
      <c r="J1044" s="459"/>
      <c r="K1044" s="459"/>
    </row>
    <row r="1045" spans="10:11" x14ac:dyDescent="0.3">
      <c r="J1045" s="459"/>
      <c r="K1045" s="459"/>
    </row>
    <row r="1046" spans="10:11" x14ac:dyDescent="0.3">
      <c r="J1046" s="459"/>
      <c r="K1046" s="459"/>
    </row>
    <row r="1047" spans="10:11" x14ac:dyDescent="0.3">
      <c r="J1047" s="459"/>
      <c r="K1047" s="459"/>
    </row>
    <row r="1048" spans="10:11" x14ac:dyDescent="0.3">
      <c r="J1048" s="459"/>
      <c r="K1048" s="459"/>
    </row>
    <row r="1049" spans="10:11" x14ac:dyDescent="0.3">
      <c r="J1049" s="459"/>
      <c r="K1049" s="459"/>
    </row>
    <row r="1050" spans="10:11" x14ac:dyDescent="0.3">
      <c r="J1050" s="459"/>
      <c r="K1050" s="459"/>
    </row>
    <row r="1051" spans="10:11" x14ac:dyDescent="0.3">
      <c r="J1051" s="459"/>
      <c r="K1051" s="459"/>
    </row>
    <row r="1052" spans="10:11" x14ac:dyDescent="0.3">
      <c r="J1052" s="459"/>
      <c r="K1052" s="459"/>
    </row>
    <row r="1053" spans="10:11" x14ac:dyDescent="0.3">
      <c r="J1053" s="459"/>
      <c r="K1053" s="459"/>
    </row>
    <row r="1054" spans="10:11" x14ac:dyDescent="0.3">
      <c r="J1054" s="459"/>
      <c r="K1054" s="459"/>
    </row>
    <row r="1055" spans="10:11" x14ac:dyDescent="0.3">
      <c r="J1055" s="459"/>
      <c r="K1055" s="459"/>
    </row>
    <row r="1056" spans="10:11" x14ac:dyDescent="0.3">
      <c r="J1056" s="459"/>
      <c r="K1056" s="459"/>
    </row>
    <row r="1057" spans="10:11" x14ac:dyDescent="0.3">
      <c r="J1057" s="459"/>
      <c r="K1057" s="459"/>
    </row>
    <row r="1058" spans="10:11" x14ac:dyDescent="0.3">
      <c r="J1058" s="459"/>
      <c r="K1058" s="459"/>
    </row>
    <row r="1059" spans="10:11" x14ac:dyDescent="0.3">
      <c r="J1059" s="459"/>
      <c r="K1059" s="459"/>
    </row>
    <row r="1060" spans="10:11" x14ac:dyDescent="0.3">
      <c r="J1060" s="459"/>
      <c r="K1060" s="459"/>
    </row>
    <row r="1061" spans="10:11" x14ac:dyDescent="0.3">
      <c r="J1061" s="459"/>
      <c r="K1061" s="459"/>
    </row>
    <row r="1062" spans="10:11" x14ac:dyDescent="0.3">
      <c r="J1062" s="459"/>
      <c r="K1062" s="459"/>
    </row>
    <row r="1063" spans="10:11" x14ac:dyDescent="0.3">
      <c r="J1063" s="459"/>
      <c r="K1063" s="459"/>
    </row>
    <row r="1064" spans="10:11" x14ac:dyDescent="0.3">
      <c r="J1064" s="459"/>
      <c r="K1064" s="459"/>
    </row>
    <row r="1065" spans="10:11" x14ac:dyDescent="0.3">
      <c r="J1065" s="459"/>
      <c r="K1065" s="459"/>
    </row>
    <row r="1066" spans="10:11" x14ac:dyDescent="0.3">
      <c r="J1066" s="459"/>
      <c r="K1066" s="459"/>
    </row>
    <row r="1067" spans="10:11" x14ac:dyDescent="0.3">
      <c r="J1067" s="459"/>
      <c r="K1067" s="459"/>
    </row>
    <row r="1068" spans="10:11" x14ac:dyDescent="0.3">
      <c r="J1068" s="459"/>
      <c r="K1068" s="459"/>
    </row>
    <row r="1069" spans="10:11" x14ac:dyDescent="0.3">
      <c r="J1069" s="459"/>
      <c r="K1069" s="459"/>
    </row>
    <row r="1070" spans="10:11" x14ac:dyDescent="0.3">
      <c r="J1070" s="459"/>
      <c r="K1070" s="459"/>
    </row>
    <row r="1071" spans="10:11" x14ac:dyDescent="0.3">
      <c r="J1071" s="459"/>
      <c r="K1071" s="459"/>
    </row>
    <row r="1072" spans="10:11" x14ac:dyDescent="0.3">
      <c r="J1072" s="459"/>
      <c r="K1072" s="459"/>
    </row>
    <row r="1073" spans="10:11" x14ac:dyDescent="0.3">
      <c r="J1073" s="459"/>
      <c r="K1073" s="459"/>
    </row>
    <row r="1074" spans="10:11" x14ac:dyDescent="0.3">
      <c r="J1074" s="459"/>
      <c r="K1074" s="459"/>
    </row>
    <row r="1075" spans="10:11" x14ac:dyDescent="0.3">
      <c r="J1075" s="459"/>
      <c r="K1075" s="459"/>
    </row>
    <row r="1076" spans="10:11" x14ac:dyDescent="0.3">
      <c r="J1076" s="459"/>
      <c r="K1076" s="459"/>
    </row>
    <row r="1077" spans="10:11" x14ac:dyDescent="0.3">
      <c r="J1077" s="459"/>
      <c r="K1077" s="459"/>
    </row>
    <row r="1078" spans="10:11" x14ac:dyDescent="0.3">
      <c r="J1078" s="459"/>
      <c r="K1078" s="459"/>
    </row>
    <row r="1079" spans="10:11" x14ac:dyDescent="0.3">
      <c r="J1079" s="459"/>
      <c r="K1079" s="459"/>
    </row>
    <row r="1080" spans="10:11" x14ac:dyDescent="0.3">
      <c r="J1080" s="459"/>
      <c r="K1080" s="459"/>
    </row>
    <row r="1081" spans="10:11" x14ac:dyDescent="0.3">
      <c r="J1081" s="459"/>
      <c r="K1081" s="459"/>
    </row>
    <row r="1082" spans="10:11" x14ac:dyDescent="0.3">
      <c r="J1082" s="459"/>
      <c r="K1082" s="459"/>
    </row>
    <row r="1083" spans="10:11" x14ac:dyDescent="0.3">
      <c r="J1083" s="459"/>
      <c r="K1083" s="459"/>
    </row>
    <row r="1084" spans="10:11" x14ac:dyDescent="0.3">
      <c r="J1084" s="459"/>
      <c r="K1084" s="459"/>
    </row>
    <row r="1085" spans="10:11" x14ac:dyDescent="0.3">
      <c r="J1085" s="459"/>
      <c r="K1085" s="459"/>
    </row>
    <row r="1086" spans="10:11" x14ac:dyDescent="0.3">
      <c r="J1086" s="459"/>
      <c r="K1086" s="459"/>
    </row>
    <row r="1087" spans="10:11" x14ac:dyDescent="0.3">
      <c r="J1087" s="459"/>
      <c r="K1087" s="459"/>
    </row>
    <row r="1088" spans="10:11" x14ac:dyDescent="0.3">
      <c r="J1088" s="459"/>
      <c r="K1088" s="459"/>
    </row>
    <row r="1089" spans="10:11" x14ac:dyDescent="0.3">
      <c r="J1089" s="459"/>
      <c r="K1089" s="459"/>
    </row>
    <row r="1090" spans="10:11" x14ac:dyDescent="0.3">
      <c r="J1090" s="459"/>
      <c r="K1090" s="459"/>
    </row>
    <row r="1091" spans="10:11" x14ac:dyDescent="0.3">
      <c r="J1091" s="459"/>
      <c r="K1091" s="459"/>
    </row>
    <row r="1092" spans="10:11" x14ac:dyDescent="0.3">
      <c r="J1092" s="459"/>
      <c r="K1092" s="459"/>
    </row>
    <row r="1093" spans="10:11" x14ac:dyDescent="0.3">
      <c r="J1093" s="459"/>
      <c r="K1093" s="459"/>
    </row>
    <row r="1094" spans="10:11" x14ac:dyDescent="0.3">
      <c r="J1094" s="459"/>
      <c r="K1094" s="459"/>
    </row>
    <row r="1095" spans="10:11" x14ac:dyDescent="0.3">
      <c r="J1095" s="459"/>
      <c r="K1095" s="459"/>
    </row>
    <row r="1096" spans="10:11" x14ac:dyDescent="0.3">
      <c r="J1096" s="459"/>
      <c r="K1096" s="459"/>
    </row>
    <row r="1097" spans="10:11" x14ac:dyDescent="0.3">
      <c r="J1097" s="459"/>
      <c r="K1097" s="459"/>
    </row>
    <row r="1098" spans="10:11" x14ac:dyDescent="0.3">
      <c r="J1098" s="459"/>
      <c r="K1098" s="459"/>
    </row>
    <row r="1099" spans="10:11" x14ac:dyDescent="0.3">
      <c r="J1099" s="459"/>
      <c r="K1099" s="459"/>
    </row>
    <row r="1100" spans="10:11" x14ac:dyDescent="0.3">
      <c r="J1100" s="459"/>
      <c r="K1100" s="459"/>
    </row>
    <row r="1101" spans="10:11" x14ac:dyDescent="0.3">
      <c r="J1101" s="459"/>
      <c r="K1101" s="459"/>
    </row>
    <row r="1102" spans="10:11" x14ac:dyDescent="0.3">
      <c r="J1102" s="459"/>
      <c r="K1102" s="459"/>
    </row>
    <row r="1103" spans="10:11" x14ac:dyDescent="0.3">
      <c r="J1103" s="459"/>
      <c r="K1103" s="459"/>
    </row>
    <row r="1104" spans="10:11" x14ac:dyDescent="0.3">
      <c r="J1104" s="459"/>
      <c r="K1104" s="459"/>
    </row>
    <row r="1105" spans="10:11" x14ac:dyDescent="0.3">
      <c r="J1105" s="459"/>
      <c r="K1105" s="459"/>
    </row>
    <row r="1106" spans="10:11" x14ac:dyDescent="0.3">
      <c r="J1106" s="459"/>
      <c r="K1106" s="459"/>
    </row>
    <row r="1107" spans="10:11" x14ac:dyDescent="0.3">
      <c r="J1107" s="459"/>
      <c r="K1107" s="459"/>
    </row>
    <row r="1108" spans="10:11" x14ac:dyDescent="0.3">
      <c r="J1108" s="459"/>
      <c r="K1108" s="459"/>
    </row>
    <row r="1109" spans="10:11" x14ac:dyDescent="0.3">
      <c r="J1109" s="459"/>
      <c r="K1109" s="459"/>
    </row>
    <row r="1110" spans="10:11" x14ac:dyDescent="0.3">
      <c r="J1110" s="459"/>
      <c r="K1110" s="459"/>
    </row>
    <row r="1111" spans="10:11" x14ac:dyDescent="0.3">
      <c r="J1111" s="459"/>
      <c r="K1111" s="459"/>
    </row>
    <row r="1112" spans="10:11" x14ac:dyDescent="0.3">
      <c r="J1112" s="459"/>
      <c r="K1112" s="459"/>
    </row>
    <row r="1113" spans="10:11" x14ac:dyDescent="0.3">
      <c r="J1113" s="459"/>
      <c r="K1113" s="459"/>
    </row>
    <row r="1114" spans="10:11" x14ac:dyDescent="0.3">
      <c r="J1114" s="459"/>
      <c r="K1114" s="459"/>
    </row>
    <row r="1115" spans="10:11" x14ac:dyDescent="0.3">
      <c r="J1115" s="459"/>
      <c r="K1115" s="459"/>
    </row>
    <row r="1116" spans="10:11" x14ac:dyDescent="0.3">
      <c r="J1116" s="459"/>
      <c r="K1116" s="459"/>
    </row>
    <row r="1117" spans="10:11" x14ac:dyDescent="0.3">
      <c r="J1117" s="459"/>
      <c r="K1117" s="459"/>
    </row>
    <row r="1118" spans="10:11" x14ac:dyDescent="0.3">
      <c r="J1118" s="459"/>
      <c r="K1118" s="459"/>
    </row>
    <row r="1119" spans="10:11" x14ac:dyDescent="0.3">
      <c r="J1119" s="459"/>
      <c r="K1119" s="459"/>
    </row>
    <row r="1120" spans="10:11" x14ac:dyDescent="0.3">
      <c r="J1120" s="459"/>
      <c r="K1120" s="459"/>
    </row>
    <row r="1121" spans="10:11" x14ac:dyDescent="0.3">
      <c r="J1121" s="459"/>
      <c r="K1121" s="459"/>
    </row>
    <row r="1122" spans="10:11" x14ac:dyDescent="0.3">
      <c r="J1122" s="459"/>
      <c r="K1122" s="459"/>
    </row>
    <row r="1123" spans="10:11" x14ac:dyDescent="0.3">
      <c r="J1123" s="459"/>
      <c r="K1123" s="459"/>
    </row>
    <row r="1124" spans="10:11" x14ac:dyDescent="0.3">
      <c r="J1124" s="459"/>
      <c r="K1124" s="459"/>
    </row>
    <row r="1125" spans="10:11" x14ac:dyDescent="0.3">
      <c r="J1125" s="459"/>
      <c r="K1125" s="459"/>
    </row>
    <row r="1126" spans="10:11" x14ac:dyDescent="0.3">
      <c r="J1126" s="459"/>
      <c r="K1126" s="459"/>
    </row>
    <row r="1127" spans="10:11" x14ac:dyDescent="0.3">
      <c r="J1127" s="459"/>
      <c r="K1127" s="459"/>
    </row>
    <row r="1128" spans="10:11" x14ac:dyDescent="0.3">
      <c r="J1128" s="459"/>
      <c r="K1128" s="459"/>
    </row>
    <row r="1129" spans="10:11" x14ac:dyDescent="0.3">
      <c r="J1129" s="459"/>
      <c r="K1129" s="459"/>
    </row>
    <row r="1130" spans="10:11" x14ac:dyDescent="0.3">
      <c r="J1130" s="459"/>
      <c r="K1130" s="459"/>
    </row>
    <row r="1131" spans="10:11" x14ac:dyDescent="0.3">
      <c r="J1131" s="459"/>
      <c r="K1131" s="459"/>
    </row>
    <row r="1132" spans="10:11" x14ac:dyDescent="0.3">
      <c r="J1132" s="459"/>
      <c r="K1132" s="459"/>
    </row>
    <row r="1133" spans="10:11" x14ac:dyDescent="0.3">
      <c r="J1133" s="459"/>
      <c r="K1133" s="459"/>
    </row>
    <row r="1134" spans="10:11" x14ac:dyDescent="0.3">
      <c r="J1134" s="459"/>
      <c r="K1134" s="459"/>
    </row>
    <row r="1135" spans="10:11" x14ac:dyDescent="0.3">
      <c r="J1135" s="459"/>
      <c r="K1135" s="459"/>
    </row>
    <row r="1136" spans="10:11" x14ac:dyDescent="0.3">
      <c r="J1136" s="459"/>
      <c r="K1136" s="459"/>
    </row>
    <row r="1137" spans="10:11" x14ac:dyDescent="0.3">
      <c r="J1137" s="459"/>
      <c r="K1137" s="459"/>
    </row>
    <row r="1138" spans="10:11" x14ac:dyDescent="0.3">
      <c r="J1138" s="459"/>
      <c r="K1138" s="459"/>
    </row>
    <row r="1139" spans="10:11" x14ac:dyDescent="0.3">
      <c r="J1139" s="459"/>
      <c r="K1139" s="459"/>
    </row>
    <row r="1140" spans="10:11" x14ac:dyDescent="0.3">
      <c r="J1140" s="459"/>
      <c r="K1140" s="459"/>
    </row>
    <row r="1141" spans="10:11" x14ac:dyDescent="0.3">
      <c r="J1141" s="459"/>
      <c r="K1141" s="459"/>
    </row>
    <row r="1142" spans="10:11" x14ac:dyDescent="0.3">
      <c r="J1142" s="459"/>
      <c r="K1142" s="459"/>
    </row>
    <row r="1143" spans="10:11" x14ac:dyDescent="0.3">
      <c r="J1143" s="459"/>
      <c r="K1143" s="459"/>
    </row>
    <row r="1144" spans="10:11" x14ac:dyDescent="0.3">
      <c r="J1144" s="459"/>
      <c r="K1144" s="459"/>
    </row>
    <row r="1145" spans="10:11" x14ac:dyDescent="0.3">
      <c r="J1145" s="459"/>
      <c r="K1145" s="459"/>
    </row>
    <row r="1146" spans="10:11" x14ac:dyDescent="0.3">
      <c r="J1146" s="459"/>
      <c r="K1146" s="459"/>
    </row>
    <row r="1147" spans="10:11" x14ac:dyDescent="0.3">
      <c r="J1147" s="459"/>
      <c r="K1147" s="459"/>
    </row>
    <row r="1148" spans="10:11" x14ac:dyDescent="0.3">
      <c r="J1148" s="459"/>
      <c r="K1148" s="459"/>
    </row>
    <row r="1149" spans="10:11" x14ac:dyDescent="0.3">
      <c r="J1149" s="459"/>
      <c r="K1149" s="459"/>
    </row>
    <row r="1150" spans="10:11" x14ac:dyDescent="0.3">
      <c r="J1150" s="459"/>
      <c r="K1150" s="459"/>
    </row>
    <row r="1151" spans="10:11" x14ac:dyDescent="0.3">
      <c r="J1151" s="459"/>
      <c r="K1151" s="459"/>
    </row>
    <row r="1152" spans="10:11" x14ac:dyDescent="0.3">
      <c r="J1152" s="459"/>
      <c r="K1152" s="459"/>
    </row>
    <row r="1153" spans="10:11" x14ac:dyDescent="0.3">
      <c r="J1153" s="459"/>
      <c r="K1153" s="459"/>
    </row>
    <row r="1154" spans="10:11" x14ac:dyDescent="0.3">
      <c r="J1154" s="459"/>
      <c r="K1154" s="459"/>
    </row>
    <row r="1155" spans="10:11" x14ac:dyDescent="0.3">
      <c r="J1155" s="459"/>
      <c r="K1155" s="459"/>
    </row>
    <row r="1156" spans="10:11" x14ac:dyDescent="0.3">
      <c r="J1156" s="459"/>
      <c r="K1156" s="459"/>
    </row>
    <row r="1157" spans="10:11" x14ac:dyDescent="0.3">
      <c r="J1157" s="459"/>
      <c r="K1157" s="459"/>
    </row>
    <row r="1158" spans="10:11" x14ac:dyDescent="0.3">
      <c r="J1158" s="459"/>
      <c r="K1158" s="459"/>
    </row>
    <row r="1159" spans="10:11" x14ac:dyDescent="0.3">
      <c r="J1159" s="459"/>
      <c r="K1159" s="459"/>
    </row>
    <row r="1160" spans="10:11" x14ac:dyDescent="0.3">
      <c r="J1160" s="459"/>
      <c r="K1160" s="459"/>
    </row>
    <row r="1161" spans="10:11" x14ac:dyDescent="0.3">
      <c r="J1161" s="459"/>
      <c r="K1161" s="459"/>
    </row>
    <row r="1162" spans="10:11" x14ac:dyDescent="0.3">
      <c r="J1162" s="459"/>
      <c r="K1162" s="459"/>
    </row>
    <row r="1163" spans="10:11" x14ac:dyDescent="0.3">
      <c r="J1163" s="459"/>
      <c r="K1163" s="459"/>
    </row>
    <row r="1164" spans="10:11" x14ac:dyDescent="0.3">
      <c r="J1164" s="459"/>
      <c r="K1164" s="459"/>
    </row>
    <row r="1165" spans="10:11" x14ac:dyDescent="0.3">
      <c r="J1165" s="459"/>
      <c r="K1165" s="459"/>
    </row>
    <row r="1166" spans="10:11" x14ac:dyDescent="0.3">
      <c r="J1166" s="459"/>
      <c r="K1166" s="459"/>
    </row>
    <row r="1167" spans="10:11" x14ac:dyDescent="0.3">
      <c r="J1167" s="459"/>
      <c r="K1167" s="459"/>
    </row>
    <row r="1168" spans="10:11" x14ac:dyDescent="0.3">
      <c r="J1168" s="459"/>
      <c r="K1168" s="459"/>
    </row>
    <row r="1169" spans="10:11" x14ac:dyDescent="0.3">
      <c r="J1169" s="459"/>
      <c r="K1169" s="459"/>
    </row>
    <row r="1170" spans="10:11" x14ac:dyDescent="0.3">
      <c r="J1170" s="459"/>
      <c r="K1170" s="459"/>
    </row>
    <row r="1171" spans="10:11" x14ac:dyDescent="0.3">
      <c r="J1171" s="459"/>
      <c r="K1171" s="459"/>
    </row>
    <row r="1172" spans="10:11" x14ac:dyDescent="0.3">
      <c r="J1172" s="459"/>
      <c r="K1172" s="459"/>
    </row>
    <row r="1173" spans="10:11" x14ac:dyDescent="0.3">
      <c r="J1173" s="459"/>
      <c r="K1173" s="459"/>
    </row>
    <row r="1174" spans="10:11" x14ac:dyDescent="0.3">
      <c r="J1174" s="459"/>
      <c r="K1174" s="459"/>
    </row>
    <row r="1175" spans="10:11" x14ac:dyDescent="0.3">
      <c r="J1175" s="459"/>
      <c r="K1175" s="459"/>
    </row>
    <row r="1176" spans="10:11" x14ac:dyDescent="0.3">
      <c r="J1176" s="459"/>
      <c r="K1176" s="459"/>
    </row>
    <row r="1177" spans="10:11" x14ac:dyDescent="0.3">
      <c r="J1177" s="459"/>
      <c r="K1177" s="459"/>
    </row>
    <row r="1178" spans="10:11" x14ac:dyDescent="0.3">
      <c r="J1178" s="459"/>
      <c r="K1178" s="459"/>
    </row>
    <row r="1179" spans="10:11" x14ac:dyDescent="0.3">
      <c r="J1179" s="459"/>
      <c r="K1179" s="459"/>
    </row>
    <row r="1180" spans="10:11" x14ac:dyDescent="0.3">
      <c r="J1180" s="459"/>
      <c r="K1180" s="459"/>
    </row>
    <row r="1181" spans="10:11" x14ac:dyDescent="0.3">
      <c r="J1181" s="459"/>
      <c r="K1181" s="459"/>
    </row>
    <row r="1182" spans="10:11" x14ac:dyDescent="0.3">
      <c r="J1182" s="459"/>
      <c r="K1182" s="459"/>
    </row>
    <row r="1183" spans="10:11" x14ac:dyDescent="0.3">
      <c r="J1183" s="459"/>
      <c r="K1183" s="459"/>
    </row>
    <row r="1184" spans="10:11" x14ac:dyDescent="0.3">
      <c r="J1184" s="459"/>
      <c r="K1184" s="459"/>
    </row>
    <row r="1185" spans="10:11" x14ac:dyDescent="0.3">
      <c r="J1185" s="459"/>
      <c r="K1185" s="459"/>
    </row>
    <row r="1186" spans="10:11" x14ac:dyDescent="0.3">
      <c r="J1186" s="459"/>
      <c r="K1186" s="459"/>
    </row>
    <row r="1187" spans="10:11" x14ac:dyDescent="0.3">
      <c r="J1187" s="459"/>
      <c r="K1187" s="459"/>
    </row>
    <row r="1188" spans="10:11" x14ac:dyDescent="0.3">
      <c r="J1188" s="459"/>
      <c r="K1188" s="459"/>
    </row>
    <row r="1189" spans="10:11" x14ac:dyDescent="0.3">
      <c r="J1189" s="459"/>
      <c r="K1189" s="459"/>
    </row>
    <row r="1190" spans="10:11" x14ac:dyDescent="0.3">
      <c r="J1190" s="459"/>
      <c r="K1190" s="459"/>
    </row>
    <row r="1191" spans="10:11" x14ac:dyDescent="0.3">
      <c r="J1191" s="459"/>
      <c r="K1191" s="459"/>
    </row>
    <row r="1192" spans="10:11" x14ac:dyDescent="0.3">
      <c r="J1192" s="459"/>
      <c r="K1192" s="459"/>
    </row>
    <row r="1193" spans="10:11" x14ac:dyDescent="0.3">
      <c r="J1193" s="459"/>
      <c r="K1193" s="459"/>
    </row>
    <row r="1194" spans="10:11" x14ac:dyDescent="0.3">
      <c r="J1194" s="459"/>
      <c r="K1194" s="459"/>
    </row>
    <row r="1195" spans="10:11" x14ac:dyDescent="0.3">
      <c r="J1195" s="459"/>
      <c r="K1195" s="459"/>
    </row>
    <row r="1196" spans="10:11" x14ac:dyDescent="0.3">
      <c r="J1196" s="459"/>
      <c r="K1196" s="459"/>
    </row>
    <row r="1197" spans="10:11" x14ac:dyDescent="0.3">
      <c r="J1197" s="459"/>
      <c r="K1197" s="459"/>
    </row>
    <row r="1198" spans="10:11" x14ac:dyDescent="0.3">
      <c r="J1198" s="459"/>
      <c r="K1198" s="459"/>
    </row>
    <row r="1199" spans="10:11" x14ac:dyDescent="0.3">
      <c r="J1199" s="459"/>
      <c r="K1199" s="459"/>
    </row>
    <row r="1200" spans="10:11" x14ac:dyDescent="0.3">
      <c r="J1200" s="459"/>
      <c r="K1200" s="459"/>
    </row>
    <row r="1201" spans="10:11" x14ac:dyDescent="0.3">
      <c r="J1201" s="459"/>
      <c r="K1201" s="459"/>
    </row>
    <row r="1202" spans="10:11" x14ac:dyDescent="0.3">
      <c r="J1202" s="459"/>
      <c r="K1202" s="459"/>
    </row>
    <row r="1203" spans="10:11" x14ac:dyDescent="0.3">
      <c r="J1203" s="459"/>
      <c r="K1203" s="459"/>
    </row>
    <row r="1204" spans="10:11" x14ac:dyDescent="0.3">
      <c r="J1204" s="459"/>
      <c r="K1204" s="459"/>
    </row>
    <row r="1205" spans="10:11" x14ac:dyDescent="0.3">
      <c r="J1205" s="459"/>
      <c r="K1205" s="459"/>
    </row>
    <row r="1206" spans="10:11" x14ac:dyDescent="0.3">
      <c r="J1206" s="459"/>
      <c r="K1206" s="459"/>
    </row>
    <row r="1207" spans="10:11" x14ac:dyDescent="0.3">
      <c r="J1207" s="459"/>
      <c r="K1207" s="459"/>
    </row>
    <row r="1208" spans="10:11" x14ac:dyDescent="0.3">
      <c r="J1208" s="459"/>
      <c r="K1208" s="459"/>
    </row>
    <row r="1209" spans="10:11" x14ac:dyDescent="0.3">
      <c r="J1209" s="459"/>
      <c r="K1209" s="459"/>
    </row>
    <row r="1210" spans="10:11" x14ac:dyDescent="0.3">
      <c r="J1210" s="459"/>
      <c r="K1210" s="459"/>
    </row>
    <row r="1211" spans="10:11" x14ac:dyDescent="0.3">
      <c r="J1211" s="459"/>
      <c r="K1211" s="459"/>
    </row>
    <row r="1212" spans="10:11" x14ac:dyDescent="0.3">
      <c r="J1212" s="459"/>
      <c r="K1212" s="459"/>
    </row>
    <row r="1213" spans="10:11" x14ac:dyDescent="0.3">
      <c r="J1213" s="459"/>
      <c r="K1213" s="459"/>
    </row>
    <row r="1214" spans="10:11" x14ac:dyDescent="0.3">
      <c r="J1214" s="459"/>
      <c r="K1214" s="459"/>
    </row>
    <row r="1215" spans="10:11" x14ac:dyDescent="0.3">
      <c r="J1215" s="459"/>
      <c r="K1215" s="459"/>
    </row>
    <row r="1216" spans="10:11" x14ac:dyDescent="0.3">
      <c r="J1216" s="459"/>
      <c r="K1216" s="459"/>
    </row>
    <row r="1217" spans="10:11" x14ac:dyDescent="0.3">
      <c r="J1217" s="459"/>
      <c r="K1217" s="459"/>
    </row>
    <row r="1218" spans="10:11" x14ac:dyDescent="0.3">
      <c r="J1218" s="459"/>
      <c r="K1218" s="459"/>
    </row>
    <row r="1219" spans="10:11" x14ac:dyDescent="0.3">
      <c r="J1219" s="459"/>
      <c r="K1219" s="459"/>
    </row>
    <row r="1220" spans="10:11" x14ac:dyDescent="0.3">
      <c r="J1220" s="459"/>
      <c r="K1220" s="459"/>
    </row>
    <row r="1221" spans="10:11" x14ac:dyDescent="0.3">
      <c r="J1221" s="459"/>
      <c r="K1221" s="459"/>
    </row>
    <row r="1222" spans="10:11" x14ac:dyDescent="0.3">
      <c r="J1222" s="459"/>
      <c r="K1222" s="459"/>
    </row>
    <row r="1223" spans="10:11" x14ac:dyDescent="0.3">
      <c r="J1223" s="459"/>
      <c r="K1223" s="459"/>
    </row>
    <row r="1224" spans="10:11" x14ac:dyDescent="0.3">
      <c r="J1224" s="459"/>
      <c r="K1224" s="459"/>
    </row>
    <row r="1225" spans="10:11" x14ac:dyDescent="0.3">
      <c r="J1225" s="459"/>
      <c r="K1225" s="459"/>
    </row>
    <row r="1226" spans="10:11" x14ac:dyDescent="0.3">
      <c r="J1226" s="459"/>
      <c r="K1226" s="459"/>
    </row>
    <row r="1227" spans="10:11" x14ac:dyDescent="0.3">
      <c r="J1227" s="459"/>
      <c r="K1227" s="459"/>
    </row>
    <row r="1228" spans="10:11" x14ac:dyDescent="0.3">
      <c r="J1228" s="459"/>
      <c r="K1228" s="459"/>
    </row>
    <row r="1229" spans="10:11" x14ac:dyDescent="0.3">
      <c r="J1229" s="459"/>
      <c r="K1229" s="459"/>
    </row>
    <row r="1230" spans="10:11" x14ac:dyDescent="0.3">
      <c r="J1230" s="459"/>
      <c r="K1230" s="459"/>
    </row>
    <row r="1231" spans="10:11" x14ac:dyDescent="0.3">
      <c r="J1231" s="459"/>
      <c r="K1231" s="459"/>
    </row>
    <row r="1232" spans="10:11" x14ac:dyDescent="0.3">
      <c r="J1232" s="459"/>
      <c r="K1232" s="459"/>
    </row>
    <row r="1233" spans="10:11" x14ac:dyDescent="0.3">
      <c r="J1233" s="459"/>
      <c r="K1233" s="459"/>
    </row>
    <row r="1234" spans="10:11" x14ac:dyDescent="0.3">
      <c r="J1234" s="459"/>
      <c r="K1234" s="459"/>
    </row>
    <row r="1235" spans="10:11" x14ac:dyDescent="0.3">
      <c r="J1235" s="459"/>
      <c r="K1235" s="459"/>
    </row>
    <row r="1236" spans="10:11" x14ac:dyDescent="0.3">
      <c r="J1236" s="459"/>
      <c r="K1236" s="459"/>
    </row>
    <row r="1237" spans="10:11" x14ac:dyDescent="0.3">
      <c r="J1237" s="459"/>
      <c r="K1237" s="459"/>
    </row>
    <row r="1238" spans="10:11" x14ac:dyDescent="0.3">
      <c r="J1238" s="459"/>
      <c r="K1238" s="459"/>
    </row>
    <row r="1239" spans="10:11" x14ac:dyDescent="0.3">
      <c r="J1239" s="459"/>
      <c r="K1239" s="459"/>
    </row>
    <row r="1240" spans="10:11" x14ac:dyDescent="0.3">
      <c r="J1240" s="459"/>
      <c r="K1240" s="459"/>
    </row>
    <row r="1241" spans="10:11" x14ac:dyDescent="0.3">
      <c r="J1241" s="459"/>
      <c r="K1241" s="459"/>
    </row>
    <row r="1242" spans="10:11" x14ac:dyDescent="0.3">
      <c r="J1242" s="459"/>
      <c r="K1242" s="459"/>
    </row>
    <row r="1243" spans="10:11" x14ac:dyDescent="0.3">
      <c r="J1243" s="459"/>
      <c r="K1243" s="459"/>
    </row>
    <row r="1244" spans="10:11" x14ac:dyDescent="0.3">
      <c r="J1244" s="459"/>
      <c r="K1244" s="459"/>
    </row>
    <row r="1245" spans="10:11" x14ac:dyDescent="0.3">
      <c r="J1245" s="459"/>
      <c r="K1245" s="459"/>
    </row>
    <row r="1246" spans="10:11" x14ac:dyDescent="0.3">
      <c r="J1246" s="459"/>
      <c r="K1246" s="459"/>
    </row>
    <row r="1247" spans="10:11" x14ac:dyDescent="0.3">
      <c r="J1247" s="459"/>
      <c r="K1247" s="459"/>
    </row>
    <row r="1248" spans="10:11" x14ac:dyDescent="0.3">
      <c r="J1248" s="459"/>
      <c r="K1248" s="459"/>
    </row>
    <row r="1249" spans="10:11" x14ac:dyDescent="0.3">
      <c r="J1249" s="459"/>
      <c r="K1249" s="459"/>
    </row>
    <row r="1250" spans="10:11" x14ac:dyDescent="0.3">
      <c r="J1250" s="459"/>
      <c r="K1250" s="459"/>
    </row>
    <row r="1251" spans="10:11" x14ac:dyDescent="0.3">
      <c r="J1251" s="459"/>
      <c r="K1251" s="459"/>
    </row>
    <row r="1252" spans="10:11" x14ac:dyDescent="0.3">
      <c r="J1252" s="459"/>
      <c r="K1252" s="459"/>
    </row>
    <row r="1253" spans="10:11" x14ac:dyDescent="0.3">
      <c r="J1253" s="459"/>
      <c r="K1253" s="459"/>
    </row>
    <row r="1254" spans="10:11" x14ac:dyDescent="0.3">
      <c r="J1254" s="459"/>
      <c r="K1254" s="459"/>
    </row>
    <row r="1255" spans="10:11" x14ac:dyDescent="0.3">
      <c r="J1255" s="459"/>
      <c r="K1255" s="459"/>
    </row>
    <row r="1256" spans="10:11" x14ac:dyDescent="0.3">
      <c r="J1256" s="459"/>
      <c r="K1256" s="459"/>
    </row>
    <row r="1257" spans="10:11" x14ac:dyDescent="0.3">
      <c r="J1257" s="459"/>
      <c r="K1257" s="459"/>
    </row>
    <row r="1258" spans="10:11" x14ac:dyDescent="0.3">
      <c r="J1258" s="459"/>
      <c r="K1258" s="459"/>
    </row>
    <row r="1259" spans="10:11" x14ac:dyDescent="0.3">
      <c r="J1259" s="459"/>
      <c r="K1259" s="459"/>
    </row>
    <row r="1260" spans="10:11" x14ac:dyDescent="0.3">
      <c r="J1260" s="459"/>
      <c r="K1260" s="459"/>
    </row>
    <row r="1261" spans="10:11" x14ac:dyDescent="0.3">
      <c r="J1261" s="459"/>
      <c r="K1261" s="459"/>
    </row>
    <row r="1262" spans="10:11" x14ac:dyDescent="0.3">
      <c r="J1262" s="459"/>
      <c r="K1262" s="459"/>
    </row>
    <row r="1263" spans="10:11" x14ac:dyDescent="0.3">
      <c r="J1263" s="459"/>
      <c r="K1263" s="459"/>
    </row>
    <row r="1264" spans="10:11" x14ac:dyDescent="0.3">
      <c r="J1264" s="459"/>
      <c r="K1264" s="459"/>
    </row>
    <row r="1265" spans="10:11" x14ac:dyDescent="0.3">
      <c r="J1265" s="459"/>
      <c r="K1265" s="459"/>
    </row>
    <row r="1266" spans="10:11" x14ac:dyDescent="0.3">
      <c r="J1266" s="459"/>
      <c r="K1266" s="459"/>
    </row>
    <row r="1267" spans="10:11" x14ac:dyDescent="0.3">
      <c r="J1267" s="459"/>
      <c r="K1267" s="459"/>
    </row>
    <row r="1268" spans="10:11" x14ac:dyDescent="0.3">
      <c r="J1268" s="459"/>
      <c r="K1268" s="459"/>
    </row>
    <row r="1269" spans="10:11" x14ac:dyDescent="0.3">
      <c r="J1269" s="459"/>
      <c r="K1269" s="459"/>
    </row>
    <row r="1270" spans="10:11" x14ac:dyDescent="0.3">
      <c r="J1270" s="459"/>
      <c r="K1270" s="459"/>
    </row>
    <row r="1271" spans="10:11" x14ac:dyDescent="0.3">
      <c r="J1271" s="459"/>
      <c r="K1271" s="459"/>
    </row>
    <row r="1272" spans="10:11" x14ac:dyDescent="0.3">
      <c r="J1272" s="459"/>
      <c r="K1272" s="459"/>
    </row>
    <row r="1273" spans="10:11" x14ac:dyDescent="0.3">
      <c r="J1273" s="459"/>
      <c r="K1273" s="459"/>
    </row>
    <row r="1274" spans="10:11" x14ac:dyDescent="0.3">
      <c r="J1274" s="459"/>
      <c r="K1274" s="459"/>
    </row>
    <row r="1275" spans="10:11" x14ac:dyDescent="0.3">
      <c r="J1275" s="459"/>
      <c r="K1275" s="459"/>
    </row>
    <row r="1276" spans="10:11" x14ac:dyDescent="0.3">
      <c r="J1276" s="459"/>
      <c r="K1276" s="459"/>
    </row>
    <row r="1277" spans="10:11" x14ac:dyDescent="0.3">
      <c r="J1277" s="459"/>
      <c r="K1277" s="459"/>
    </row>
    <row r="1278" spans="10:11" x14ac:dyDescent="0.3">
      <c r="J1278" s="459"/>
      <c r="K1278" s="459"/>
    </row>
    <row r="1279" spans="10:11" x14ac:dyDescent="0.3">
      <c r="J1279" s="459"/>
      <c r="K1279" s="459"/>
    </row>
    <row r="1280" spans="10:11" x14ac:dyDescent="0.3">
      <c r="J1280" s="459"/>
      <c r="K1280" s="459"/>
    </row>
    <row r="1281" spans="10:11" x14ac:dyDescent="0.3">
      <c r="J1281" s="459"/>
      <c r="K1281" s="459"/>
    </row>
    <row r="1282" spans="10:11" x14ac:dyDescent="0.3">
      <c r="J1282" s="459"/>
      <c r="K1282" s="459"/>
    </row>
    <row r="1283" spans="10:11" x14ac:dyDescent="0.3">
      <c r="J1283" s="459"/>
      <c r="K1283" s="459"/>
    </row>
    <row r="1284" spans="10:11" x14ac:dyDescent="0.3">
      <c r="J1284" s="459"/>
      <c r="K1284" s="459"/>
    </row>
    <row r="1285" spans="10:11" x14ac:dyDescent="0.3">
      <c r="J1285" s="459"/>
      <c r="K1285" s="459"/>
    </row>
    <row r="1286" spans="10:11" x14ac:dyDescent="0.3">
      <c r="J1286" s="459"/>
      <c r="K1286" s="459"/>
    </row>
    <row r="1287" spans="10:11" x14ac:dyDescent="0.3">
      <c r="J1287" s="459"/>
      <c r="K1287" s="459"/>
    </row>
    <row r="1288" spans="10:11" x14ac:dyDescent="0.3">
      <c r="J1288" s="459"/>
      <c r="K1288" s="459"/>
    </row>
    <row r="1289" spans="10:11" x14ac:dyDescent="0.3">
      <c r="J1289" s="459"/>
      <c r="K1289" s="459"/>
    </row>
    <row r="1290" spans="10:11" x14ac:dyDescent="0.3">
      <c r="J1290" s="459"/>
      <c r="K1290" s="459"/>
    </row>
    <row r="1291" spans="10:11" x14ac:dyDescent="0.3">
      <c r="J1291" s="459"/>
      <c r="K1291" s="459"/>
    </row>
    <row r="1292" spans="10:11" x14ac:dyDescent="0.3">
      <c r="J1292" s="459"/>
      <c r="K1292" s="459"/>
    </row>
    <row r="1293" spans="10:11" x14ac:dyDescent="0.3">
      <c r="J1293" s="459"/>
      <c r="K1293" s="459"/>
    </row>
    <row r="1294" spans="10:11" x14ac:dyDescent="0.3">
      <c r="J1294" s="459"/>
      <c r="K1294" s="459"/>
    </row>
    <row r="1295" spans="10:11" x14ac:dyDescent="0.3">
      <c r="J1295" s="459"/>
      <c r="K1295" s="459"/>
    </row>
    <row r="1296" spans="10:11" x14ac:dyDescent="0.3">
      <c r="J1296" s="459"/>
      <c r="K1296" s="459"/>
    </row>
    <row r="1297" spans="10:11" x14ac:dyDescent="0.3">
      <c r="J1297" s="459"/>
      <c r="K1297" s="459"/>
    </row>
    <row r="1298" spans="10:11" x14ac:dyDescent="0.3">
      <c r="J1298" s="459"/>
      <c r="K1298" s="459"/>
    </row>
    <row r="1299" spans="10:11" x14ac:dyDescent="0.3">
      <c r="J1299" s="459"/>
      <c r="K1299" s="459"/>
    </row>
    <row r="1300" spans="10:11" x14ac:dyDescent="0.3">
      <c r="J1300" s="459"/>
      <c r="K1300" s="459"/>
    </row>
    <row r="1301" spans="10:11" x14ac:dyDescent="0.3">
      <c r="J1301" s="459"/>
      <c r="K1301" s="459"/>
    </row>
    <row r="1302" spans="10:11" x14ac:dyDescent="0.3">
      <c r="J1302" s="459"/>
      <c r="K1302" s="459"/>
    </row>
    <row r="1303" spans="10:11" x14ac:dyDescent="0.3">
      <c r="J1303" s="459"/>
      <c r="K1303" s="459"/>
    </row>
    <row r="1304" spans="10:11" x14ac:dyDescent="0.3">
      <c r="J1304" s="459"/>
      <c r="K1304" s="459"/>
    </row>
    <row r="1305" spans="10:11" x14ac:dyDescent="0.3">
      <c r="J1305" s="459"/>
      <c r="K1305" s="459"/>
    </row>
    <row r="1306" spans="10:11" x14ac:dyDescent="0.3">
      <c r="J1306" s="459"/>
      <c r="K1306" s="459"/>
    </row>
    <row r="1307" spans="10:11" x14ac:dyDescent="0.3">
      <c r="J1307" s="459"/>
      <c r="K1307" s="459"/>
    </row>
    <row r="1308" spans="10:11" x14ac:dyDescent="0.3">
      <c r="J1308" s="459"/>
      <c r="K1308" s="459"/>
    </row>
    <row r="1309" spans="10:11" x14ac:dyDescent="0.3">
      <c r="J1309" s="459"/>
      <c r="K1309" s="459"/>
    </row>
    <row r="1310" spans="10:11" x14ac:dyDescent="0.3">
      <c r="J1310" s="459"/>
      <c r="K1310" s="459"/>
    </row>
    <row r="1311" spans="10:11" x14ac:dyDescent="0.3">
      <c r="J1311" s="459"/>
      <c r="K1311" s="459"/>
    </row>
    <row r="1312" spans="10:11" x14ac:dyDescent="0.3">
      <c r="J1312" s="459"/>
      <c r="K1312" s="459"/>
    </row>
    <row r="1313" spans="10:11" x14ac:dyDescent="0.3">
      <c r="J1313" s="459"/>
      <c r="K1313" s="459"/>
    </row>
    <row r="1314" spans="10:11" x14ac:dyDescent="0.3">
      <c r="J1314" s="459"/>
      <c r="K1314" s="459"/>
    </row>
    <row r="1315" spans="10:11" x14ac:dyDescent="0.3">
      <c r="J1315" s="459"/>
      <c r="K1315" s="459"/>
    </row>
    <row r="1316" spans="10:11" x14ac:dyDescent="0.3">
      <c r="J1316" s="459"/>
      <c r="K1316" s="459"/>
    </row>
    <row r="1317" spans="10:11" x14ac:dyDescent="0.3">
      <c r="J1317" s="459"/>
      <c r="K1317" s="459"/>
    </row>
    <row r="1318" spans="10:11" x14ac:dyDescent="0.3">
      <c r="J1318" s="459"/>
      <c r="K1318" s="459"/>
    </row>
    <row r="1319" spans="10:11" x14ac:dyDescent="0.3">
      <c r="J1319" s="459"/>
      <c r="K1319" s="459"/>
    </row>
    <row r="1320" spans="10:11" x14ac:dyDescent="0.3">
      <c r="J1320" s="459"/>
      <c r="K1320" s="459"/>
    </row>
  </sheetData>
  <protectedRanges>
    <protectedRange sqref="H21:I21" name="Rango1"/>
    <protectedRange sqref="A22" name="Rango2"/>
    <protectedRange sqref="B16:B17" name="Rango3"/>
    <protectedRange sqref="B14:B15" name="Rango3_1"/>
  </protectedRanges>
  <mergeCells count="52">
    <mergeCell ref="A146:G146"/>
    <mergeCell ref="B5:C5"/>
    <mergeCell ref="A1:A2"/>
    <mergeCell ref="B4:E4"/>
    <mergeCell ref="A124:B124"/>
    <mergeCell ref="B6:C6"/>
    <mergeCell ref="C7:D7"/>
    <mergeCell ref="A8:H8"/>
    <mergeCell ref="A10:H10"/>
    <mergeCell ref="A17:F17"/>
    <mergeCell ref="A19:L19"/>
    <mergeCell ref="A20:L20"/>
    <mergeCell ref="A21:G21"/>
    <mergeCell ref="A22:D22"/>
    <mergeCell ref="E22:I22"/>
    <mergeCell ref="A123:B123"/>
    <mergeCell ref="A139:K139"/>
    <mergeCell ref="A140:B140"/>
    <mergeCell ref="A141:B141"/>
    <mergeCell ref="A142:B142"/>
    <mergeCell ref="A144:B144"/>
    <mergeCell ref="A125:B125"/>
    <mergeCell ref="A127:L127"/>
    <mergeCell ref="A129:L129"/>
    <mergeCell ref="A132:F132"/>
    <mergeCell ref="G132:L132"/>
    <mergeCell ref="A159:F159"/>
    <mergeCell ref="A160:F160"/>
    <mergeCell ref="G161:J161"/>
    <mergeCell ref="A163:E164"/>
    <mergeCell ref="D148:I148"/>
    <mergeCell ref="G155:J155"/>
    <mergeCell ref="A156:F156"/>
    <mergeCell ref="G156:H156"/>
    <mergeCell ref="A157:F157"/>
    <mergeCell ref="A158:F158"/>
    <mergeCell ref="B1:K2"/>
    <mergeCell ref="A175:M175"/>
    <mergeCell ref="A176:E176"/>
    <mergeCell ref="F176:G176"/>
    <mergeCell ref="H176:J176"/>
    <mergeCell ref="K176:M176"/>
    <mergeCell ref="A168:M170"/>
    <mergeCell ref="A171:J171"/>
    <mergeCell ref="K171:M171"/>
    <mergeCell ref="A172:M172"/>
    <mergeCell ref="A173:E174"/>
    <mergeCell ref="F173:J174"/>
    <mergeCell ref="K173:M174"/>
    <mergeCell ref="A165:H165"/>
    <mergeCell ref="D152:I152"/>
    <mergeCell ref="A155:F155"/>
  </mergeCells>
  <conditionalFormatting sqref="H164">
    <cfRule type="expression" dxfId="166" priority="13">
      <formula>$H$164="EFICAZ"</formula>
    </cfRule>
    <cfRule type="expression" dxfId="165" priority="14">
      <formula>$H$164="INEFICAZ"</formula>
    </cfRule>
  </conditionalFormatting>
  <conditionalFormatting sqref="J80:K80">
    <cfRule type="expression" dxfId="164" priority="15">
      <formula>$J$80="NO"</formula>
    </cfRule>
    <cfRule type="expression" dxfId="163" priority="16">
      <formula>$J$80="SI"</formula>
    </cfRule>
  </conditionalFormatting>
  <conditionalFormatting sqref="A1:B1">
    <cfRule type="cellIs" dxfId="162" priority="1" operator="equal">
      <formula>"ERROR"</formula>
    </cfRule>
  </conditionalFormatting>
  <conditionalFormatting sqref="L1:L2">
    <cfRule type="cellIs" dxfId="161" priority="2" operator="equal">
      <formula>"INEXISTENTE"</formula>
    </cfRule>
    <cfRule type="cellIs" dxfId="160" priority="3" operator="equal">
      <formula>"INADECUADO"</formula>
    </cfRule>
    <cfRule type="cellIs" dxfId="159" priority="4" operator="equal">
      <formula>"PARCIALMENTE ADECUADO"</formula>
    </cfRule>
    <cfRule type="cellIs" dxfId="158" priority="5" operator="equal">
      <formula>"ADECUADO"</formula>
    </cfRule>
    <cfRule type="cellIs" dxfId="157" priority="6" operator="equal">
      <formula>"ERROR"</formula>
    </cfRule>
  </conditionalFormatting>
  <dataValidations disablePrompts="1" count="3">
    <dataValidation type="list" allowBlank="1" showInputMessage="1" showErrorMessage="1" sqref="J24:J78 WVR983077:WVR983130 WLV983077:WLV983130 WBZ983077:WBZ983130 VSD983077:VSD983130 VIH983077:VIH983130 UYL983077:UYL983130 UOP983077:UOP983130 UET983077:UET983130 TUX983077:TUX983130 TLB983077:TLB983130 TBF983077:TBF983130 SRJ983077:SRJ983130 SHN983077:SHN983130 RXR983077:RXR983130 RNV983077:RNV983130 RDZ983077:RDZ983130 QUD983077:QUD983130 QKH983077:QKH983130 QAL983077:QAL983130 PQP983077:PQP983130 PGT983077:PGT983130 OWX983077:OWX983130 ONB983077:ONB983130 ODF983077:ODF983130 NTJ983077:NTJ983130 NJN983077:NJN983130 MZR983077:MZR983130 MPV983077:MPV983130 MFZ983077:MFZ983130 LWD983077:LWD983130 LMH983077:LMH983130 LCL983077:LCL983130 KSP983077:KSP983130 KIT983077:KIT983130 JYX983077:JYX983130 JPB983077:JPB983130 JFF983077:JFF983130 IVJ983077:IVJ983130 ILN983077:ILN983130 IBR983077:IBR983130 HRV983077:HRV983130 HHZ983077:HHZ983130 GYD983077:GYD983130 GOH983077:GOH983130 GEL983077:GEL983130 FUP983077:FUP983130 FKT983077:FKT983130 FAX983077:FAX983130 ERB983077:ERB983130 EHF983077:EHF983130 DXJ983077:DXJ983130 DNN983077:DNN983130 DDR983077:DDR983130 CTV983077:CTV983130 CJZ983077:CJZ983130 CAD983077:CAD983130 BQH983077:BQH983130 BGL983077:BGL983130 AWP983077:AWP983130 AMT983077:AMT983130 ACX983077:ACX983130 TB983077:TB983130 JF983077:JF983130 J983077:J983130 WVR917541:WVR917594 WLV917541:WLV917594 WBZ917541:WBZ917594 VSD917541:VSD917594 VIH917541:VIH917594 UYL917541:UYL917594 UOP917541:UOP917594 UET917541:UET917594 TUX917541:TUX917594 TLB917541:TLB917594 TBF917541:TBF917594 SRJ917541:SRJ917594 SHN917541:SHN917594 RXR917541:RXR917594 RNV917541:RNV917594 RDZ917541:RDZ917594 QUD917541:QUD917594 QKH917541:QKH917594 QAL917541:QAL917594 PQP917541:PQP917594 PGT917541:PGT917594 OWX917541:OWX917594 ONB917541:ONB917594 ODF917541:ODF917594 NTJ917541:NTJ917594 NJN917541:NJN917594 MZR917541:MZR917594 MPV917541:MPV917594 MFZ917541:MFZ917594 LWD917541:LWD917594 LMH917541:LMH917594 LCL917541:LCL917594 KSP917541:KSP917594 KIT917541:KIT917594 JYX917541:JYX917594 JPB917541:JPB917594 JFF917541:JFF917594 IVJ917541:IVJ917594 ILN917541:ILN917594 IBR917541:IBR917594 HRV917541:HRV917594 HHZ917541:HHZ917594 GYD917541:GYD917594 GOH917541:GOH917594 GEL917541:GEL917594 FUP917541:FUP917594 FKT917541:FKT917594 FAX917541:FAX917594 ERB917541:ERB917594 EHF917541:EHF917594 DXJ917541:DXJ917594 DNN917541:DNN917594 DDR917541:DDR917594 CTV917541:CTV917594 CJZ917541:CJZ917594 CAD917541:CAD917594 BQH917541:BQH917594 BGL917541:BGL917594 AWP917541:AWP917594 AMT917541:AMT917594 ACX917541:ACX917594 TB917541:TB917594 JF917541:JF917594 J917541:J917594 WVR852005:WVR852058 WLV852005:WLV852058 WBZ852005:WBZ852058 VSD852005:VSD852058 VIH852005:VIH852058 UYL852005:UYL852058 UOP852005:UOP852058 UET852005:UET852058 TUX852005:TUX852058 TLB852005:TLB852058 TBF852005:TBF852058 SRJ852005:SRJ852058 SHN852005:SHN852058 RXR852005:RXR852058 RNV852005:RNV852058 RDZ852005:RDZ852058 QUD852005:QUD852058 QKH852005:QKH852058 QAL852005:QAL852058 PQP852005:PQP852058 PGT852005:PGT852058 OWX852005:OWX852058 ONB852005:ONB852058 ODF852005:ODF852058 NTJ852005:NTJ852058 NJN852005:NJN852058 MZR852005:MZR852058 MPV852005:MPV852058 MFZ852005:MFZ852058 LWD852005:LWD852058 LMH852005:LMH852058 LCL852005:LCL852058 KSP852005:KSP852058 KIT852005:KIT852058 JYX852005:JYX852058 JPB852005:JPB852058 JFF852005:JFF852058 IVJ852005:IVJ852058 ILN852005:ILN852058 IBR852005:IBR852058 HRV852005:HRV852058 HHZ852005:HHZ852058 GYD852005:GYD852058 GOH852005:GOH852058 GEL852005:GEL852058 FUP852005:FUP852058 FKT852005:FKT852058 FAX852005:FAX852058 ERB852005:ERB852058 EHF852005:EHF852058 DXJ852005:DXJ852058 DNN852005:DNN852058 DDR852005:DDR852058 CTV852005:CTV852058 CJZ852005:CJZ852058 CAD852005:CAD852058 BQH852005:BQH852058 BGL852005:BGL852058 AWP852005:AWP852058 AMT852005:AMT852058 ACX852005:ACX852058 TB852005:TB852058 JF852005:JF852058 J852005:J852058 WVR786469:WVR786522 WLV786469:WLV786522 WBZ786469:WBZ786522 VSD786469:VSD786522 VIH786469:VIH786522 UYL786469:UYL786522 UOP786469:UOP786522 UET786469:UET786522 TUX786469:TUX786522 TLB786469:TLB786522 TBF786469:TBF786522 SRJ786469:SRJ786522 SHN786469:SHN786522 RXR786469:RXR786522 RNV786469:RNV786522 RDZ786469:RDZ786522 QUD786469:QUD786522 QKH786469:QKH786522 QAL786469:QAL786522 PQP786469:PQP786522 PGT786469:PGT786522 OWX786469:OWX786522 ONB786469:ONB786522 ODF786469:ODF786522 NTJ786469:NTJ786522 NJN786469:NJN786522 MZR786469:MZR786522 MPV786469:MPV786522 MFZ786469:MFZ786522 LWD786469:LWD786522 LMH786469:LMH786522 LCL786469:LCL786522 KSP786469:KSP786522 KIT786469:KIT786522 JYX786469:JYX786522 JPB786469:JPB786522 JFF786469:JFF786522 IVJ786469:IVJ786522 ILN786469:ILN786522 IBR786469:IBR786522 HRV786469:HRV786522 HHZ786469:HHZ786522 GYD786469:GYD786522 GOH786469:GOH786522 GEL786469:GEL786522 FUP786469:FUP786522 FKT786469:FKT786522 FAX786469:FAX786522 ERB786469:ERB786522 EHF786469:EHF786522 DXJ786469:DXJ786522 DNN786469:DNN786522 DDR786469:DDR786522 CTV786469:CTV786522 CJZ786469:CJZ786522 CAD786469:CAD786522 BQH786469:BQH786522 BGL786469:BGL786522 AWP786469:AWP786522 AMT786469:AMT786522 ACX786469:ACX786522 TB786469:TB786522 JF786469:JF786522 J786469:J786522 WVR720933:WVR720986 WLV720933:WLV720986 WBZ720933:WBZ720986 VSD720933:VSD720986 VIH720933:VIH720986 UYL720933:UYL720986 UOP720933:UOP720986 UET720933:UET720986 TUX720933:TUX720986 TLB720933:TLB720986 TBF720933:TBF720986 SRJ720933:SRJ720986 SHN720933:SHN720986 RXR720933:RXR720986 RNV720933:RNV720986 RDZ720933:RDZ720986 QUD720933:QUD720986 QKH720933:QKH720986 QAL720933:QAL720986 PQP720933:PQP720986 PGT720933:PGT720986 OWX720933:OWX720986 ONB720933:ONB720986 ODF720933:ODF720986 NTJ720933:NTJ720986 NJN720933:NJN720986 MZR720933:MZR720986 MPV720933:MPV720986 MFZ720933:MFZ720986 LWD720933:LWD720986 LMH720933:LMH720986 LCL720933:LCL720986 KSP720933:KSP720986 KIT720933:KIT720986 JYX720933:JYX720986 JPB720933:JPB720986 JFF720933:JFF720986 IVJ720933:IVJ720986 ILN720933:ILN720986 IBR720933:IBR720986 HRV720933:HRV720986 HHZ720933:HHZ720986 GYD720933:GYD720986 GOH720933:GOH720986 GEL720933:GEL720986 FUP720933:FUP720986 FKT720933:FKT720986 FAX720933:FAX720986 ERB720933:ERB720986 EHF720933:EHF720986 DXJ720933:DXJ720986 DNN720933:DNN720986 DDR720933:DDR720986 CTV720933:CTV720986 CJZ720933:CJZ720986 CAD720933:CAD720986 BQH720933:BQH720986 BGL720933:BGL720986 AWP720933:AWP720986 AMT720933:AMT720986 ACX720933:ACX720986 TB720933:TB720986 JF720933:JF720986 J720933:J720986 WVR655397:WVR655450 WLV655397:WLV655450 WBZ655397:WBZ655450 VSD655397:VSD655450 VIH655397:VIH655450 UYL655397:UYL655450 UOP655397:UOP655450 UET655397:UET655450 TUX655397:TUX655450 TLB655397:TLB655450 TBF655397:TBF655450 SRJ655397:SRJ655450 SHN655397:SHN655450 RXR655397:RXR655450 RNV655397:RNV655450 RDZ655397:RDZ655450 QUD655397:QUD655450 QKH655397:QKH655450 QAL655397:QAL655450 PQP655397:PQP655450 PGT655397:PGT655450 OWX655397:OWX655450 ONB655397:ONB655450 ODF655397:ODF655450 NTJ655397:NTJ655450 NJN655397:NJN655450 MZR655397:MZR655450 MPV655397:MPV655450 MFZ655397:MFZ655450 LWD655397:LWD655450 LMH655397:LMH655450 LCL655397:LCL655450 KSP655397:KSP655450 KIT655397:KIT655450 JYX655397:JYX655450 JPB655397:JPB655450 JFF655397:JFF655450 IVJ655397:IVJ655450 ILN655397:ILN655450 IBR655397:IBR655450 HRV655397:HRV655450 HHZ655397:HHZ655450 GYD655397:GYD655450 GOH655397:GOH655450 GEL655397:GEL655450 FUP655397:FUP655450 FKT655397:FKT655450 FAX655397:FAX655450 ERB655397:ERB655450 EHF655397:EHF655450 DXJ655397:DXJ655450 DNN655397:DNN655450 DDR655397:DDR655450 CTV655397:CTV655450 CJZ655397:CJZ655450 CAD655397:CAD655450 BQH655397:BQH655450 BGL655397:BGL655450 AWP655397:AWP655450 AMT655397:AMT655450 ACX655397:ACX655450 TB655397:TB655450 JF655397:JF655450 J655397:J655450 WVR589861:WVR589914 WLV589861:WLV589914 WBZ589861:WBZ589914 VSD589861:VSD589914 VIH589861:VIH589914 UYL589861:UYL589914 UOP589861:UOP589914 UET589861:UET589914 TUX589861:TUX589914 TLB589861:TLB589914 TBF589861:TBF589914 SRJ589861:SRJ589914 SHN589861:SHN589914 RXR589861:RXR589914 RNV589861:RNV589914 RDZ589861:RDZ589914 QUD589861:QUD589914 QKH589861:QKH589914 QAL589861:QAL589914 PQP589861:PQP589914 PGT589861:PGT589914 OWX589861:OWX589914 ONB589861:ONB589914 ODF589861:ODF589914 NTJ589861:NTJ589914 NJN589861:NJN589914 MZR589861:MZR589914 MPV589861:MPV589914 MFZ589861:MFZ589914 LWD589861:LWD589914 LMH589861:LMH589914 LCL589861:LCL589914 KSP589861:KSP589914 KIT589861:KIT589914 JYX589861:JYX589914 JPB589861:JPB589914 JFF589861:JFF589914 IVJ589861:IVJ589914 ILN589861:ILN589914 IBR589861:IBR589914 HRV589861:HRV589914 HHZ589861:HHZ589914 GYD589861:GYD589914 GOH589861:GOH589914 GEL589861:GEL589914 FUP589861:FUP589914 FKT589861:FKT589914 FAX589861:FAX589914 ERB589861:ERB589914 EHF589861:EHF589914 DXJ589861:DXJ589914 DNN589861:DNN589914 DDR589861:DDR589914 CTV589861:CTV589914 CJZ589861:CJZ589914 CAD589861:CAD589914 BQH589861:BQH589914 BGL589861:BGL589914 AWP589861:AWP589914 AMT589861:AMT589914 ACX589861:ACX589914 TB589861:TB589914 JF589861:JF589914 J589861:J589914 WVR524325:WVR524378 WLV524325:WLV524378 WBZ524325:WBZ524378 VSD524325:VSD524378 VIH524325:VIH524378 UYL524325:UYL524378 UOP524325:UOP524378 UET524325:UET524378 TUX524325:TUX524378 TLB524325:TLB524378 TBF524325:TBF524378 SRJ524325:SRJ524378 SHN524325:SHN524378 RXR524325:RXR524378 RNV524325:RNV524378 RDZ524325:RDZ524378 QUD524325:QUD524378 QKH524325:QKH524378 QAL524325:QAL524378 PQP524325:PQP524378 PGT524325:PGT524378 OWX524325:OWX524378 ONB524325:ONB524378 ODF524325:ODF524378 NTJ524325:NTJ524378 NJN524325:NJN524378 MZR524325:MZR524378 MPV524325:MPV524378 MFZ524325:MFZ524378 LWD524325:LWD524378 LMH524325:LMH524378 LCL524325:LCL524378 KSP524325:KSP524378 KIT524325:KIT524378 JYX524325:JYX524378 JPB524325:JPB524378 JFF524325:JFF524378 IVJ524325:IVJ524378 ILN524325:ILN524378 IBR524325:IBR524378 HRV524325:HRV524378 HHZ524325:HHZ524378 GYD524325:GYD524378 GOH524325:GOH524378 GEL524325:GEL524378 FUP524325:FUP524378 FKT524325:FKT524378 FAX524325:FAX524378 ERB524325:ERB524378 EHF524325:EHF524378 DXJ524325:DXJ524378 DNN524325:DNN524378 DDR524325:DDR524378 CTV524325:CTV524378 CJZ524325:CJZ524378 CAD524325:CAD524378 BQH524325:BQH524378 BGL524325:BGL524378 AWP524325:AWP524378 AMT524325:AMT524378 ACX524325:ACX524378 TB524325:TB524378 JF524325:JF524378 J524325:J524378 WVR458789:WVR458842 WLV458789:WLV458842 WBZ458789:WBZ458842 VSD458789:VSD458842 VIH458789:VIH458842 UYL458789:UYL458842 UOP458789:UOP458842 UET458789:UET458842 TUX458789:TUX458842 TLB458789:TLB458842 TBF458789:TBF458842 SRJ458789:SRJ458842 SHN458789:SHN458842 RXR458789:RXR458842 RNV458789:RNV458842 RDZ458789:RDZ458842 QUD458789:QUD458842 QKH458789:QKH458842 QAL458789:QAL458842 PQP458789:PQP458842 PGT458789:PGT458842 OWX458789:OWX458842 ONB458789:ONB458842 ODF458789:ODF458842 NTJ458789:NTJ458842 NJN458789:NJN458842 MZR458789:MZR458842 MPV458789:MPV458842 MFZ458789:MFZ458842 LWD458789:LWD458842 LMH458789:LMH458842 LCL458789:LCL458842 KSP458789:KSP458842 KIT458789:KIT458842 JYX458789:JYX458842 JPB458789:JPB458842 JFF458789:JFF458842 IVJ458789:IVJ458842 ILN458789:ILN458842 IBR458789:IBR458842 HRV458789:HRV458842 HHZ458789:HHZ458842 GYD458789:GYD458842 GOH458789:GOH458842 GEL458789:GEL458842 FUP458789:FUP458842 FKT458789:FKT458842 FAX458789:FAX458842 ERB458789:ERB458842 EHF458789:EHF458842 DXJ458789:DXJ458842 DNN458789:DNN458842 DDR458789:DDR458842 CTV458789:CTV458842 CJZ458789:CJZ458842 CAD458789:CAD458842 BQH458789:BQH458842 BGL458789:BGL458842 AWP458789:AWP458842 AMT458789:AMT458842 ACX458789:ACX458842 TB458789:TB458842 JF458789:JF458842 J458789:J458842 WVR393253:WVR393306 WLV393253:WLV393306 WBZ393253:WBZ393306 VSD393253:VSD393306 VIH393253:VIH393306 UYL393253:UYL393306 UOP393253:UOP393306 UET393253:UET393306 TUX393253:TUX393306 TLB393253:TLB393306 TBF393253:TBF393306 SRJ393253:SRJ393306 SHN393253:SHN393306 RXR393253:RXR393306 RNV393253:RNV393306 RDZ393253:RDZ393306 QUD393253:QUD393306 QKH393253:QKH393306 QAL393253:QAL393306 PQP393253:PQP393306 PGT393253:PGT393306 OWX393253:OWX393306 ONB393253:ONB393306 ODF393253:ODF393306 NTJ393253:NTJ393306 NJN393253:NJN393306 MZR393253:MZR393306 MPV393253:MPV393306 MFZ393253:MFZ393306 LWD393253:LWD393306 LMH393253:LMH393306 LCL393253:LCL393306 KSP393253:KSP393306 KIT393253:KIT393306 JYX393253:JYX393306 JPB393253:JPB393306 JFF393253:JFF393306 IVJ393253:IVJ393306 ILN393253:ILN393306 IBR393253:IBR393306 HRV393253:HRV393306 HHZ393253:HHZ393306 GYD393253:GYD393306 GOH393253:GOH393306 GEL393253:GEL393306 FUP393253:FUP393306 FKT393253:FKT393306 FAX393253:FAX393306 ERB393253:ERB393306 EHF393253:EHF393306 DXJ393253:DXJ393306 DNN393253:DNN393306 DDR393253:DDR393306 CTV393253:CTV393306 CJZ393253:CJZ393306 CAD393253:CAD393306 BQH393253:BQH393306 BGL393253:BGL393306 AWP393253:AWP393306 AMT393253:AMT393306 ACX393253:ACX393306 TB393253:TB393306 JF393253:JF393306 J393253:J393306 WVR327717:WVR327770 WLV327717:WLV327770 WBZ327717:WBZ327770 VSD327717:VSD327770 VIH327717:VIH327770 UYL327717:UYL327770 UOP327717:UOP327770 UET327717:UET327770 TUX327717:TUX327770 TLB327717:TLB327770 TBF327717:TBF327770 SRJ327717:SRJ327770 SHN327717:SHN327770 RXR327717:RXR327770 RNV327717:RNV327770 RDZ327717:RDZ327770 QUD327717:QUD327770 QKH327717:QKH327770 QAL327717:QAL327770 PQP327717:PQP327770 PGT327717:PGT327770 OWX327717:OWX327770 ONB327717:ONB327770 ODF327717:ODF327770 NTJ327717:NTJ327770 NJN327717:NJN327770 MZR327717:MZR327770 MPV327717:MPV327770 MFZ327717:MFZ327770 LWD327717:LWD327770 LMH327717:LMH327770 LCL327717:LCL327770 KSP327717:KSP327770 KIT327717:KIT327770 JYX327717:JYX327770 JPB327717:JPB327770 JFF327717:JFF327770 IVJ327717:IVJ327770 ILN327717:ILN327770 IBR327717:IBR327770 HRV327717:HRV327770 HHZ327717:HHZ327770 GYD327717:GYD327770 GOH327717:GOH327770 GEL327717:GEL327770 FUP327717:FUP327770 FKT327717:FKT327770 FAX327717:FAX327770 ERB327717:ERB327770 EHF327717:EHF327770 DXJ327717:DXJ327770 DNN327717:DNN327770 DDR327717:DDR327770 CTV327717:CTV327770 CJZ327717:CJZ327770 CAD327717:CAD327770 BQH327717:BQH327770 BGL327717:BGL327770 AWP327717:AWP327770 AMT327717:AMT327770 ACX327717:ACX327770 TB327717:TB327770 JF327717:JF327770 J327717:J327770 WVR262181:WVR262234 WLV262181:WLV262234 WBZ262181:WBZ262234 VSD262181:VSD262234 VIH262181:VIH262234 UYL262181:UYL262234 UOP262181:UOP262234 UET262181:UET262234 TUX262181:TUX262234 TLB262181:TLB262234 TBF262181:TBF262234 SRJ262181:SRJ262234 SHN262181:SHN262234 RXR262181:RXR262234 RNV262181:RNV262234 RDZ262181:RDZ262234 QUD262181:QUD262234 QKH262181:QKH262234 QAL262181:QAL262234 PQP262181:PQP262234 PGT262181:PGT262234 OWX262181:OWX262234 ONB262181:ONB262234 ODF262181:ODF262234 NTJ262181:NTJ262234 NJN262181:NJN262234 MZR262181:MZR262234 MPV262181:MPV262234 MFZ262181:MFZ262234 LWD262181:LWD262234 LMH262181:LMH262234 LCL262181:LCL262234 KSP262181:KSP262234 KIT262181:KIT262234 JYX262181:JYX262234 JPB262181:JPB262234 JFF262181:JFF262234 IVJ262181:IVJ262234 ILN262181:ILN262234 IBR262181:IBR262234 HRV262181:HRV262234 HHZ262181:HHZ262234 GYD262181:GYD262234 GOH262181:GOH262234 GEL262181:GEL262234 FUP262181:FUP262234 FKT262181:FKT262234 FAX262181:FAX262234 ERB262181:ERB262234 EHF262181:EHF262234 DXJ262181:DXJ262234 DNN262181:DNN262234 DDR262181:DDR262234 CTV262181:CTV262234 CJZ262181:CJZ262234 CAD262181:CAD262234 BQH262181:BQH262234 BGL262181:BGL262234 AWP262181:AWP262234 AMT262181:AMT262234 ACX262181:ACX262234 TB262181:TB262234 JF262181:JF262234 J262181:J262234 WVR196645:WVR196698 WLV196645:WLV196698 WBZ196645:WBZ196698 VSD196645:VSD196698 VIH196645:VIH196698 UYL196645:UYL196698 UOP196645:UOP196698 UET196645:UET196698 TUX196645:TUX196698 TLB196645:TLB196698 TBF196645:TBF196698 SRJ196645:SRJ196698 SHN196645:SHN196698 RXR196645:RXR196698 RNV196645:RNV196698 RDZ196645:RDZ196698 QUD196645:QUD196698 QKH196645:QKH196698 QAL196645:QAL196698 PQP196645:PQP196698 PGT196645:PGT196698 OWX196645:OWX196698 ONB196645:ONB196698 ODF196645:ODF196698 NTJ196645:NTJ196698 NJN196645:NJN196698 MZR196645:MZR196698 MPV196645:MPV196698 MFZ196645:MFZ196698 LWD196645:LWD196698 LMH196645:LMH196698 LCL196645:LCL196698 KSP196645:KSP196698 KIT196645:KIT196698 JYX196645:JYX196698 JPB196645:JPB196698 JFF196645:JFF196698 IVJ196645:IVJ196698 ILN196645:ILN196698 IBR196645:IBR196698 HRV196645:HRV196698 HHZ196645:HHZ196698 GYD196645:GYD196698 GOH196645:GOH196698 GEL196645:GEL196698 FUP196645:FUP196698 FKT196645:FKT196698 FAX196645:FAX196698 ERB196645:ERB196698 EHF196645:EHF196698 DXJ196645:DXJ196698 DNN196645:DNN196698 DDR196645:DDR196698 CTV196645:CTV196698 CJZ196645:CJZ196698 CAD196645:CAD196698 BQH196645:BQH196698 BGL196645:BGL196698 AWP196645:AWP196698 AMT196645:AMT196698 ACX196645:ACX196698 TB196645:TB196698 JF196645:JF196698 J196645:J196698 WVR131109:WVR131162 WLV131109:WLV131162 WBZ131109:WBZ131162 VSD131109:VSD131162 VIH131109:VIH131162 UYL131109:UYL131162 UOP131109:UOP131162 UET131109:UET131162 TUX131109:TUX131162 TLB131109:TLB131162 TBF131109:TBF131162 SRJ131109:SRJ131162 SHN131109:SHN131162 RXR131109:RXR131162 RNV131109:RNV131162 RDZ131109:RDZ131162 QUD131109:QUD131162 QKH131109:QKH131162 QAL131109:QAL131162 PQP131109:PQP131162 PGT131109:PGT131162 OWX131109:OWX131162 ONB131109:ONB131162 ODF131109:ODF131162 NTJ131109:NTJ131162 NJN131109:NJN131162 MZR131109:MZR131162 MPV131109:MPV131162 MFZ131109:MFZ131162 LWD131109:LWD131162 LMH131109:LMH131162 LCL131109:LCL131162 KSP131109:KSP131162 KIT131109:KIT131162 JYX131109:JYX131162 JPB131109:JPB131162 JFF131109:JFF131162 IVJ131109:IVJ131162 ILN131109:ILN131162 IBR131109:IBR131162 HRV131109:HRV131162 HHZ131109:HHZ131162 GYD131109:GYD131162 GOH131109:GOH131162 GEL131109:GEL131162 FUP131109:FUP131162 FKT131109:FKT131162 FAX131109:FAX131162 ERB131109:ERB131162 EHF131109:EHF131162 DXJ131109:DXJ131162 DNN131109:DNN131162 DDR131109:DDR131162 CTV131109:CTV131162 CJZ131109:CJZ131162 CAD131109:CAD131162 BQH131109:BQH131162 BGL131109:BGL131162 AWP131109:AWP131162 AMT131109:AMT131162 ACX131109:ACX131162 TB131109:TB131162 JF131109:JF131162 J131109:J131162 WVR65573:WVR65626 WLV65573:WLV65626 WBZ65573:WBZ65626 VSD65573:VSD65626 VIH65573:VIH65626 UYL65573:UYL65626 UOP65573:UOP65626 UET65573:UET65626 TUX65573:TUX65626 TLB65573:TLB65626 TBF65573:TBF65626 SRJ65573:SRJ65626 SHN65573:SHN65626 RXR65573:RXR65626 RNV65573:RNV65626 RDZ65573:RDZ65626 QUD65573:QUD65626 QKH65573:QKH65626 QAL65573:QAL65626 PQP65573:PQP65626 PGT65573:PGT65626 OWX65573:OWX65626 ONB65573:ONB65626 ODF65573:ODF65626 NTJ65573:NTJ65626 NJN65573:NJN65626 MZR65573:MZR65626 MPV65573:MPV65626 MFZ65573:MFZ65626 LWD65573:LWD65626 LMH65573:LMH65626 LCL65573:LCL65626 KSP65573:KSP65626 KIT65573:KIT65626 JYX65573:JYX65626 JPB65573:JPB65626 JFF65573:JFF65626 IVJ65573:IVJ65626 ILN65573:ILN65626 IBR65573:IBR65626 HRV65573:HRV65626 HHZ65573:HHZ65626 GYD65573:GYD65626 GOH65573:GOH65626 GEL65573:GEL65626 FUP65573:FUP65626 FKT65573:FKT65626 FAX65573:FAX65626 ERB65573:ERB65626 EHF65573:EHF65626 DXJ65573:DXJ65626 DNN65573:DNN65626 DDR65573:DDR65626 CTV65573:CTV65626 CJZ65573:CJZ65626 CAD65573:CAD65626 BQH65573:BQH65626 BGL65573:BGL65626 AWP65573:AWP65626 AMT65573:AMT65626 ACX65573:ACX65626 TB65573:TB65626 JF65573:JF65626 J65573:J65626 WVR24:WVR78 WLV24:WLV78 WBZ24:WBZ78 VSD24:VSD78 VIH24:VIH78 UYL24:UYL78 UOP24:UOP78 UET24:UET78 TUX24:TUX78 TLB24:TLB78 TBF24:TBF78 SRJ24:SRJ78 SHN24:SHN78 RXR24:RXR78 RNV24:RNV78 RDZ24:RDZ78 QUD24:QUD78 QKH24:QKH78 QAL24:QAL78 PQP24:PQP78 PGT24:PGT78 OWX24:OWX78 ONB24:ONB78 ODF24:ODF78 NTJ24:NTJ78 NJN24:NJN78 MZR24:MZR78 MPV24:MPV78 MFZ24:MFZ78 LWD24:LWD78 LMH24:LMH78 LCL24:LCL78 KSP24:KSP78 KIT24:KIT78 JYX24:JYX78 JPB24:JPB78 JFF24:JFF78 IVJ24:IVJ78 ILN24:ILN78 IBR24:IBR78 HRV24:HRV78 HHZ24:HHZ78 GYD24:GYD78 GOH24:GOH78 GEL24:GEL78 FUP24:FUP78 FKT24:FKT78 FAX24:FAX78 ERB24:ERB78 EHF24:EHF78 DXJ24:DXJ78 DNN24:DNN78 DDR24:DDR78 CTV24:CTV78 CJZ24:CJZ78 CAD24:CAD78 BQH24:BQH78 BGL24:BGL78 AWP24:AWP78 AMT24:AMT78 ACX24:ACX78 TB24:TB78 JF24:JF78">
      <formula1>$A$195:$A$198</formula1>
    </dataValidation>
    <dataValidation type="list" allowBlank="1" showInputMessage="1" showErrorMessage="1" sqref="J83:J121 WVR983135:WVR983173 WLV983135:WLV983173 WBZ983135:WBZ983173 VSD983135:VSD983173 VIH983135:VIH983173 UYL983135:UYL983173 UOP983135:UOP983173 UET983135:UET983173 TUX983135:TUX983173 TLB983135:TLB983173 TBF983135:TBF983173 SRJ983135:SRJ983173 SHN983135:SHN983173 RXR983135:RXR983173 RNV983135:RNV983173 RDZ983135:RDZ983173 QUD983135:QUD983173 QKH983135:QKH983173 QAL983135:QAL983173 PQP983135:PQP983173 PGT983135:PGT983173 OWX983135:OWX983173 ONB983135:ONB983173 ODF983135:ODF983173 NTJ983135:NTJ983173 NJN983135:NJN983173 MZR983135:MZR983173 MPV983135:MPV983173 MFZ983135:MFZ983173 LWD983135:LWD983173 LMH983135:LMH983173 LCL983135:LCL983173 KSP983135:KSP983173 KIT983135:KIT983173 JYX983135:JYX983173 JPB983135:JPB983173 JFF983135:JFF983173 IVJ983135:IVJ983173 ILN983135:ILN983173 IBR983135:IBR983173 HRV983135:HRV983173 HHZ983135:HHZ983173 GYD983135:GYD983173 GOH983135:GOH983173 GEL983135:GEL983173 FUP983135:FUP983173 FKT983135:FKT983173 FAX983135:FAX983173 ERB983135:ERB983173 EHF983135:EHF983173 DXJ983135:DXJ983173 DNN983135:DNN983173 DDR983135:DDR983173 CTV983135:CTV983173 CJZ983135:CJZ983173 CAD983135:CAD983173 BQH983135:BQH983173 BGL983135:BGL983173 AWP983135:AWP983173 AMT983135:AMT983173 ACX983135:ACX983173 TB983135:TB983173 JF983135:JF983173 J983135:J983173 WVR917599:WVR917637 WLV917599:WLV917637 WBZ917599:WBZ917637 VSD917599:VSD917637 VIH917599:VIH917637 UYL917599:UYL917637 UOP917599:UOP917637 UET917599:UET917637 TUX917599:TUX917637 TLB917599:TLB917637 TBF917599:TBF917637 SRJ917599:SRJ917637 SHN917599:SHN917637 RXR917599:RXR917637 RNV917599:RNV917637 RDZ917599:RDZ917637 QUD917599:QUD917637 QKH917599:QKH917637 QAL917599:QAL917637 PQP917599:PQP917637 PGT917599:PGT917637 OWX917599:OWX917637 ONB917599:ONB917637 ODF917599:ODF917637 NTJ917599:NTJ917637 NJN917599:NJN917637 MZR917599:MZR917637 MPV917599:MPV917637 MFZ917599:MFZ917637 LWD917599:LWD917637 LMH917599:LMH917637 LCL917599:LCL917637 KSP917599:KSP917637 KIT917599:KIT917637 JYX917599:JYX917637 JPB917599:JPB917637 JFF917599:JFF917637 IVJ917599:IVJ917637 ILN917599:ILN917637 IBR917599:IBR917637 HRV917599:HRV917637 HHZ917599:HHZ917637 GYD917599:GYD917637 GOH917599:GOH917637 GEL917599:GEL917637 FUP917599:FUP917637 FKT917599:FKT917637 FAX917599:FAX917637 ERB917599:ERB917637 EHF917599:EHF917637 DXJ917599:DXJ917637 DNN917599:DNN917637 DDR917599:DDR917637 CTV917599:CTV917637 CJZ917599:CJZ917637 CAD917599:CAD917637 BQH917599:BQH917637 BGL917599:BGL917637 AWP917599:AWP917637 AMT917599:AMT917637 ACX917599:ACX917637 TB917599:TB917637 JF917599:JF917637 J917599:J917637 WVR852063:WVR852101 WLV852063:WLV852101 WBZ852063:WBZ852101 VSD852063:VSD852101 VIH852063:VIH852101 UYL852063:UYL852101 UOP852063:UOP852101 UET852063:UET852101 TUX852063:TUX852101 TLB852063:TLB852101 TBF852063:TBF852101 SRJ852063:SRJ852101 SHN852063:SHN852101 RXR852063:RXR852101 RNV852063:RNV852101 RDZ852063:RDZ852101 QUD852063:QUD852101 QKH852063:QKH852101 QAL852063:QAL852101 PQP852063:PQP852101 PGT852063:PGT852101 OWX852063:OWX852101 ONB852063:ONB852101 ODF852063:ODF852101 NTJ852063:NTJ852101 NJN852063:NJN852101 MZR852063:MZR852101 MPV852063:MPV852101 MFZ852063:MFZ852101 LWD852063:LWD852101 LMH852063:LMH852101 LCL852063:LCL852101 KSP852063:KSP852101 KIT852063:KIT852101 JYX852063:JYX852101 JPB852063:JPB852101 JFF852063:JFF852101 IVJ852063:IVJ852101 ILN852063:ILN852101 IBR852063:IBR852101 HRV852063:HRV852101 HHZ852063:HHZ852101 GYD852063:GYD852101 GOH852063:GOH852101 GEL852063:GEL852101 FUP852063:FUP852101 FKT852063:FKT852101 FAX852063:FAX852101 ERB852063:ERB852101 EHF852063:EHF852101 DXJ852063:DXJ852101 DNN852063:DNN852101 DDR852063:DDR852101 CTV852063:CTV852101 CJZ852063:CJZ852101 CAD852063:CAD852101 BQH852063:BQH852101 BGL852063:BGL852101 AWP852063:AWP852101 AMT852063:AMT852101 ACX852063:ACX852101 TB852063:TB852101 JF852063:JF852101 J852063:J852101 WVR786527:WVR786565 WLV786527:WLV786565 WBZ786527:WBZ786565 VSD786527:VSD786565 VIH786527:VIH786565 UYL786527:UYL786565 UOP786527:UOP786565 UET786527:UET786565 TUX786527:TUX786565 TLB786527:TLB786565 TBF786527:TBF786565 SRJ786527:SRJ786565 SHN786527:SHN786565 RXR786527:RXR786565 RNV786527:RNV786565 RDZ786527:RDZ786565 QUD786527:QUD786565 QKH786527:QKH786565 QAL786527:QAL786565 PQP786527:PQP786565 PGT786527:PGT786565 OWX786527:OWX786565 ONB786527:ONB786565 ODF786527:ODF786565 NTJ786527:NTJ786565 NJN786527:NJN786565 MZR786527:MZR786565 MPV786527:MPV786565 MFZ786527:MFZ786565 LWD786527:LWD786565 LMH786527:LMH786565 LCL786527:LCL786565 KSP786527:KSP786565 KIT786527:KIT786565 JYX786527:JYX786565 JPB786527:JPB786565 JFF786527:JFF786565 IVJ786527:IVJ786565 ILN786527:ILN786565 IBR786527:IBR786565 HRV786527:HRV786565 HHZ786527:HHZ786565 GYD786527:GYD786565 GOH786527:GOH786565 GEL786527:GEL786565 FUP786527:FUP786565 FKT786527:FKT786565 FAX786527:FAX786565 ERB786527:ERB786565 EHF786527:EHF786565 DXJ786527:DXJ786565 DNN786527:DNN786565 DDR786527:DDR786565 CTV786527:CTV786565 CJZ786527:CJZ786565 CAD786527:CAD786565 BQH786527:BQH786565 BGL786527:BGL786565 AWP786527:AWP786565 AMT786527:AMT786565 ACX786527:ACX786565 TB786527:TB786565 JF786527:JF786565 J786527:J786565 WVR720991:WVR721029 WLV720991:WLV721029 WBZ720991:WBZ721029 VSD720991:VSD721029 VIH720991:VIH721029 UYL720991:UYL721029 UOP720991:UOP721029 UET720991:UET721029 TUX720991:TUX721029 TLB720991:TLB721029 TBF720991:TBF721029 SRJ720991:SRJ721029 SHN720991:SHN721029 RXR720991:RXR721029 RNV720991:RNV721029 RDZ720991:RDZ721029 QUD720991:QUD721029 QKH720991:QKH721029 QAL720991:QAL721029 PQP720991:PQP721029 PGT720991:PGT721029 OWX720991:OWX721029 ONB720991:ONB721029 ODF720991:ODF721029 NTJ720991:NTJ721029 NJN720991:NJN721029 MZR720991:MZR721029 MPV720991:MPV721029 MFZ720991:MFZ721029 LWD720991:LWD721029 LMH720991:LMH721029 LCL720991:LCL721029 KSP720991:KSP721029 KIT720991:KIT721029 JYX720991:JYX721029 JPB720991:JPB721029 JFF720991:JFF721029 IVJ720991:IVJ721029 ILN720991:ILN721029 IBR720991:IBR721029 HRV720991:HRV721029 HHZ720991:HHZ721029 GYD720991:GYD721029 GOH720991:GOH721029 GEL720991:GEL721029 FUP720991:FUP721029 FKT720991:FKT721029 FAX720991:FAX721029 ERB720991:ERB721029 EHF720991:EHF721029 DXJ720991:DXJ721029 DNN720991:DNN721029 DDR720991:DDR721029 CTV720991:CTV721029 CJZ720991:CJZ721029 CAD720991:CAD721029 BQH720991:BQH721029 BGL720991:BGL721029 AWP720991:AWP721029 AMT720991:AMT721029 ACX720991:ACX721029 TB720991:TB721029 JF720991:JF721029 J720991:J721029 WVR655455:WVR655493 WLV655455:WLV655493 WBZ655455:WBZ655493 VSD655455:VSD655493 VIH655455:VIH655493 UYL655455:UYL655493 UOP655455:UOP655493 UET655455:UET655493 TUX655455:TUX655493 TLB655455:TLB655493 TBF655455:TBF655493 SRJ655455:SRJ655493 SHN655455:SHN655493 RXR655455:RXR655493 RNV655455:RNV655493 RDZ655455:RDZ655493 QUD655455:QUD655493 QKH655455:QKH655493 QAL655455:QAL655493 PQP655455:PQP655493 PGT655455:PGT655493 OWX655455:OWX655493 ONB655455:ONB655493 ODF655455:ODF655493 NTJ655455:NTJ655493 NJN655455:NJN655493 MZR655455:MZR655493 MPV655455:MPV655493 MFZ655455:MFZ655493 LWD655455:LWD655493 LMH655455:LMH655493 LCL655455:LCL655493 KSP655455:KSP655493 KIT655455:KIT655493 JYX655455:JYX655493 JPB655455:JPB655493 JFF655455:JFF655493 IVJ655455:IVJ655493 ILN655455:ILN655493 IBR655455:IBR655493 HRV655455:HRV655493 HHZ655455:HHZ655493 GYD655455:GYD655493 GOH655455:GOH655493 GEL655455:GEL655493 FUP655455:FUP655493 FKT655455:FKT655493 FAX655455:FAX655493 ERB655455:ERB655493 EHF655455:EHF655493 DXJ655455:DXJ655493 DNN655455:DNN655493 DDR655455:DDR655493 CTV655455:CTV655493 CJZ655455:CJZ655493 CAD655455:CAD655493 BQH655455:BQH655493 BGL655455:BGL655493 AWP655455:AWP655493 AMT655455:AMT655493 ACX655455:ACX655493 TB655455:TB655493 JF655455:JF655493 J655455:J655493 WVR589919:WVR589957 WLV589919:WLV589957 WBZ589919:WBZ589957 VSD589919:VSD589957 VIH589919:VIH589957 UYL589919:UYL589957 UOP589919:UOP589957 UET589919:UET589957 TUX589919:TUX589957 TLB589919:TLB589957 TBF589919:TBF589957 SRJ589919:SRJ589957 SHN589919:SHN589957 RXR589919:RXR589957 RNV589919:RNV589957 RDZ589919:RDZ589957 QUD589919:QUD589957 QKH589919:QKH589957 QAL589919:QAL589957 PQP589919:PQP589957 PGT589919:PGT589957 OWX589919:OWX589957 ONB589919:ONB589957 ODF589919:ODF589957 NTJ589919:NTJ589957 NJN589919:NJN589957 MZR589919:MZR589957 MPV589919:MPV589957 MFZ589919:MFZ589957 LWD589919:LWD589957 LMH589919:LMH589957 LCL589919:LCL589957 KSP589919:KSP589957 KIT589919:KIT589957 JYX589919:JYX589957 JPB589919:JPB589957 JFF589919:JFF589957 IVJ589919:IVJ589957 ILN589919:ILN589957 IBR589919:IBR589957 HRV589919:HRV589957 HHZ589919:HHZ589957 GYD589919:GYD589957 GOH589919:GOH589957 GEL589919:GEL589957 FUP589919:FUP589957 FKT589919:FKT589957 FAX589919:FAX589957 ERB589919:ERB589957 EHF589919:EHF589957 DXJ589919:DXJ589957 DNN589919:DNN589957 DDR589919:DDR589957 CTV589919:CTV589957 CJZ589919:CJZ589957 CAD589919:CAD589957 BQH589919:BQH589957 BGL589919:BGL589957 AWP589919:AWP589957 AMT589919:AMT589957 ACX589919:ACX589957 TB589919:TB589957 JF589919:JF589957 J589919:J589957 WVR524383:WVR524421 WLV524383:WLV524421 WBZ524383:WBZ524421 VSD524383:VSD524421 VIH524383:VIH524421 UYL524383:UYL524421 UOP524383:UOP524421 UET524383:UET524421 TUX524383:TUX524421 TLB524383:TLB524421 TBF524383:TBF524421 SRJ524383:SRJ524421 SHN524383:SHN524421 RXR524383:RXR524421 RNV524383:RNV524421 RDZ524383:RDZ524421 QUD524383:QUD524421 QKH524383:QKH524421 QAL524383:QAL524421 PQP524383:PQP524421 PGT524383:PGT524421 OWX524383:OWX524421 ONB524383:ONB524421 ODF524383:ODF524421 NTJ524383:NTJ524421 NJN524383:NJN524421 MZR524383:MZR524421 MPV524383:MPV524421 MFZ524383:MFZ524421 LWD524383:LWD524421 LMH524383:LMH524421 LCL524383:LCL524421 KSP524383:KSP524421 KIT524383:KIT524421 JYX524383:JYX524421 JPB524383:JPB524421 JFF524383:JFF524421 IVJ524383:IVJ524421 ILN524383:ILN524421 IBR524383:IBR524421 HRV524383:HRV524421 HHZ524383:HHZ524421 GYD524383:GYD524421 GOH524383:GOH524421 GEL524383:GEL524421 FUP524383:FUP524421 FKT524383:FKT524421 FAX524383:FAX524421 ERB524383:ERB524421 EHF524383:EHF524421 DXJ524383:DXJ524421 DNN524383:DNN524421 DDR524383:DDR524421 CTV524383:CTV524421 CJZ524383:CJZ524421 CAD524383:CAD524421 BQH524383:BQH524421 BGL524383:BGL524421 AWP524383:AWP524421 AMT524383:AMT524421 ACX524383:ACX524421 TB524383:TB524421 JF524383:JF524421 J524383:J524421 WVR458847:WVR458885 WLV458847:WLV458885 WBZ458847:WBZ458885 VSD458847:VSD458885 VIH458847:VIH458885 UYL458847:UYL458885 UOP458847:UOP458885 UET458847:UET458885 TUX458847:TUX458885 TLB458847:TLB458885 TBF458847:TBF458885 SRJ458847:SRJ458885 SHN458847:SHN458885 RXR458847:RXR458885 RNV458847:RNV458885 RDZ458847:RDZ458885 QUD458847:QUD458885 QKH458847:QKH458885 QAL458847:QAL458885 PQP458847:PQP458885 PGT458847:PGT458885 OWX458847:OWX458885 ONB458847:ONB458885 ODF458847:ODF458885 NTJ458847:NTJ458885 NJN458847:NJN458885 MZR458847:MZR458885 MPV458847:MPV458885 MFZ458847:MFZ458885 LWD458847:LWD458885 LMH458847:LMH458885 LCL458847:LCL458885 KSP458847:KSP458885 KIT458847:KIT458885 JYX458847:JYX458885 JPB458847:JPB458885 JFF458847:JFF458885 IVJ458847:IVJ458885 ILN458847:ILN458885 IBR458847:IBR458885 HRV458847:HRV458885 HHZ458847:HHZ458885 GYD458847:GYD458885 GOH458847:GOH458885 GEL458847:GEL458885 FUP458847:FUP458885 FKT458847:FKT458885 FAX458847:FAX458885 ERB458847:ERB458885 EHF458847:EHF458885 DXJ458847:DXJ458885 DNN458847:DNN458885 DDR458847:DDR458885 CTV458847:CTV458885 CJZ458847:CJZ458885 CAD458847:CAD458885 BQH458847:BQH458885 BGL458847:BGL458885 AWP458847:AWP458885 AMT458847:AMT458885 ACX458847:ACX458885 TB458847:TB458885 JF458847:JF458885 J458847:J458885 WVR393311:WVR393349 WLV393311:WLV393349 WBZ393311:WBZ393349 VSD393311:VSD393349 VIH393311:VIH393349 UYL393311:UYL393349 UOP393311:UOP393349 UET393311:UET393349 TUX393311:TUX393349 TLB393311:TLB393349 TBF393311:TBF393349 SRJ393311:SRJ393349 SHN393311:SHN393349 RXR393311:RXR393349 RNV393311:RNV393349 RDZ393311:RDZ393349 QUD393311:QUD393349 QKH393311:QKH393349 QAL393311:QAL393349 PQP393311:PQP393349 PGT393311:PGT393349 OWX393311:OWX393349 ONB393311:ONB393349 ODF393311:ODF393349 NTJ393311:NTJ393349 NJN393311:NJN393349 MZR393311:MZR393349 MPV393311:MPV393349 MFZ393311:MFZ393349 LWD393311:LWD393349 LMH393311:LMH393349 LCL393311:LCL393349 KSP393311:KSP393349 KIT393311:KIT393349 JYX393311:JYX393349 JPB393311:JPB393349 JFF393311:JFF393349 IVJ393311:IVJ393349 ILN393311:ILN393349 IBR393311:IBR393349 HRV393311:HRV393349 HHZ393311:HHZ393349 GYD393311:GYD393349 GOH393311:GOH393349 GEL393311:GEL393349 FUP393311:FUP393349 FKT393311:FKT393349 FAX393311:FAX393349 ERB393311:ERB393349 EHF393311:EHF393349 DXJ393311:DXJ393349 DNN393311:DNN393349 DDR393311:DDR393349 CTV393311:CTV393349 CJZ393311:CJZ393349 CAD393311:CAD393349 BQH393311:BQH393349 BGL393311:BGL393349 AWP393311:AWP393349 AMT393311:AMT393349 ACX393311:ACX393349 TB393311:TB393349 JF393311:JF393349 J393311:J393349 WVR327775:WVR327813 WLV327775:WLV327813 WBZ327775:WBZ327813 VSD327775:VSD327813 VIH327775:VIH327813 UYL327775:UYL327813 UOP327775:UOP327813 UET327775:UET327813 TUX327775:TUX327813 TLB327775:TLB327813 TBF327775:TBF327813 SRJ327775:SRJ327813 SHN327775:SHN327813 RXR327775:RXR327813 RNV327775:RNV327813 RDZ327775:RDZ327813 QUD327775:QUD327813 QKH327775:QKH327813 QAL327775:QAL327813 PQP327775:PQP327813 PGT327775:PGT327813 OWX327775:OWX327813 ONB327775:ONB327813 ODF327775:ODF327813 NTJ327775:NTJ327813 NJN327775:NJN327813 MZR327775:MZR327813 MPV327775:MPV327813 MFZ327775:MFZ327813 LWD327775:LWD327813 LMH327775:LMH327813 LCL327775:LCL327813 KSP327775:KSP327813 KIT327775:KIT327813 JYX327775:JYX327813 JPB327775:JPB327813 JFF327775:JFF327813 IVJ327775:IVJ327813 ILN327775:ILN327813 IBR327775:IBR327813 HRV327775:HRV327813 HHZ327775:HHZ327813 GYD327775:GYD327813 GOH327775:GOH327813 GEL327775:GEL327813 FUP327775:FUP327813 FKT327775:FKT327813 FAX327775:FAX327813 ERB327775:ERB327813 EHF327775:EHF327813 DXJ327775:DXJ327813 DNN327775:DNN327813 DDR327775:DDR327813 CTV327775:CTV327813 CJZ327775:CJZ327813 CAD327775:CAD327813 BQH327775:BQH327813 BGL327775:BGL327813 AWP327775:AWP327813 AMT327775:AMT327813 ACX327775:ACX327813 TB327775:TB327813 JF327775:JF327813 J327775:J327813 WVR262239:WVR262277 WLV262239:WLV262277 WBZ262239:WBZ262277 VSD262239:VSD262277 VIH262239:VIH262277 UYL262239:UYL262277 UOP262239:UOP262277 UET262239:UET262277 TUX262239:TUX262277 TLB262239:TLB262277 TBF262239:TBF262277 SRJ262239:SRJ262277 SHN262239:SHN262277 RXR262239:RXR262277 RNV262239:RNV262277 RDZ262239:RDZ262277 QUD262239:QUD262277 QKH262239:QKH262277 QAL262239:QAL262277 PQP262239:PQP262277 PGT262239:PGT262277 OWX262239:OWX262277 ONB262239:ONB262277 ODF262239:ODF262277 NTJ262239:NTJ262277 NJN262239:NJN262277 MZR262239:MZR262277 MPV262239:MPV262277 MFZ262239:MFZ262277 LWD262239:LWD262277 LMH262239:LMH262277 LCL262239:LCL262277 KSP262239:KSP262277 KIT262239:KIT262277 JYX262239:JYX262277 JPB262239:JPB262277 JFF262239:JFF262277 IVJ262239:IVJ262277 ILN262239:ILN262277 IBR262239:IBR262277 HRV262239:HRV262277 HHZ262239:HHZ262277 GYD262239:GYD262277 GOH262239:GOH262277 GEL262239:GEL262277 FUP262239:FUP262277 FKT262239:FKT262277 FAX262239:FAX262277 ERB262239:ERB262277 EHF262239:EHF262277 DXJ262239:DXJ262277 DNN262239:DNN262277 DDR262239:DDR262277 CTV262239:CTV262277 CJZ262239:CJZ262277 CAD262239:CAD262277 BQH262239:BQH262277 BGL262239:BGL262277 AWP262239:AWP262277 AMT262239:AMT262277 ACX262239:ACX262277 TB262239:TB262277 JF262239:JF262277 J262239:J262277 WVR196703:WVR196741 WLV196703:WLV196741 WBZ196703:WBZ196741 VSD196703:VSD196741 VIH196703:VIH196741 UYL196703:UYL196741 UOP196703:UOP196741 UET196703:UET196741 TUX196703:TUX196741 TLB196703:TLB196741 TBF196703:TBF196741 SRJ196703:SRJ196741 SHN196703:SHN196741 RXR196703:RXR196741 RNV196703:RNV196741 RDZ196703:RDZ196741 QUD196703:QUD196741 QKH196703:QKH196741 QAL196703:QAL196741 PQP196703:PQP196741 PGT196703:PGT196741 OWX196703:OWX196741 ONB196703:ONB196741 ODF196703:ODF196741 NTJ196703:NTJ196741 NJN196703:NJN196741 MZR196703:MZR196741 MPV196703:MPV196741 MFZ196703:MFZ196741 LWD196703:LWD196741 LMH196703:LMH196741 LCL196703:LCL196741 KSP196703:KSP196741 KIT196703:KIT196741 JYX196703:JYX196741 JPB196703:JPB196741 JFF196703:JFF196741 IVJ196703:IVJ196741 ILN196703:ILN196741 IBR196703:IBR196741 HRV196703:HRV196741 HHZ196703:HHZ196741 GYD196703:GYD196741 GOH196703:GOH196741 GEL196703:GEL196741 FUP196703:FUP196741 FKT196703:FKT196741 FAX196703:FAX196741 ERB196703:ERB196741 EHF196703:EHF196741 DXJ196703:DXJ196741 DNN196703:DNN196741 DDR196703:DDR196741 CTV196703:CTV196741 CJZ196703:CJZ196741 CAD196703:CAD196741 BQH196703:BQH196741 BGL196703:BGL196741 AWP196703:AWP196741 AMT196703:AMT196741 ACX196703:ACX196741 TB196703:TB196741 JF196703:JF196741 J196703:J196741 WVR131167:WVR131205 WLV131167:WLV131205 WBZ131167:WBZ131205 VSD131167:VSD131205 VIH131167:VIH131205 UYL131167:UYL131205 UOP131167:UOP131205 UET131167:UET131205 TUX131167:TUX131205 TLB131167:TLB131205 TBF131167:TBF131205 SRJ131167:SRJ131205 SHN131167:SHN131205 RXR131167:RXR131205 RNV131167:RNV131205 RDZ131167:RDZ131205 QUD131167:QUD131205 QKH131167:QKH131205 QAL131167:QAL131205 PQP131167:PQP131205 PGT131167:PGT131205 OWX131167:OWX131205 ONB131167:ONB131205 ODF131167:ODF131205 NTJ131167:NTJ131205 NJN131167:NJN131205 MZR131167:MZR131205 MPV131167:MPV131205 MFZ131167:MFZ131205 LWD131167:LWD131205 LMH131167:LMH131205 LCL131167:LCL131205 KSP131167:KSP131205 KIT131167:KIT131205 JYX131167:JYX131205 JPB131167:JPB131205 JFF131167:JFF131205 IVJ131167:IVJ131205 ILN131167:ILN131205 IBR131167:IBR131205 HRV131167:HRV131205 HHZ131167:HHZ131205 GYD131167:GYD131205 GOH131167:GOH131205 GEL131167:GEL131205 FUP131167:FUP131205 FKT131167:FKT131205 FAX131167:FAX131205 ERB131167:ERB131205 EHF131167:EHF131205 DXJ131167:DXJ131205 DNN131167:DNN131205 DDR131167:DDR131205 CTV131167:CTV131205 CJZ131167:CJZ131205 CAD131167:CAD131205 BQH131167:BQH131205 BGL131167:BGL131205 AWP131167:AWP131205 AMT131167:AMT131205 ACX131167:ACX131205 TB131167:TB131205 JF131167:JF131205 J131167:J131205 WVR65631:WVR65669 WLV65631:WLV65669 WBZ65631:WBZ65669 VSD65631:VSD65669 VIH65631:VIH65669 UYL65631:UYL65669 UOP65631:UOP65669 UET65631:UET65669 TUX65631:TUX65669 TLB65631:TLB65669 TBF65631:TBF65669 SRJ65631:SRJ65669 SHN65631:SHN65669 RXR65631:RXR65669 RNV65631:RNV65669 RDZ65631:RDZ65669 QUD65631:QUD65669 QKH65631:QKH65669 QAL65631:QAL65669 PQP65631:PQP65669 PGT65631:PGT65669 OWX65631:OWX65669 ONB65631:ONB65669 ODF65631:ODF65669 NTJ65631:NTJ65669 NJN65631:NJN65669 MZR65631:MZR65669 MPV65631:MPV65669 MFZ65631:MFZ65669 LWD65631:LWD65669 LMH65631:LMH65669 LCL65631:LCL65669 KSP65631:KSP65669 KIT65631:KIT65669 JYX65631:JYX65669 JPB65631:JPB65669 JFF65631:JFF65669 IVJ65631:IVJ65669 ILN65631:ILN65669 IBR65631:IBR65669 HRV65631:HRV65669 HHZ65631:HHZ65669 GYD65631:GYD65669 GOH65631:GOH65669 GEL65631:GEL65669 FUP65631:FUP65669 FKT65631:FKT65669 FAX65631:FAX65669 ERB65631:ERB65669 EHF65631:EHF65669 DXJ65631:DXJ65669 DNN65631:DNN65669 DDR65631:DDR65669 CTV65631:CTV65669 CJZ65631:CJZ65669 CAD65631:CAD65669 BQH65631:BQH65669 BGL65631:BGL65669 AWP65631:AWP65669 AMT65631:AMT65669 ACX65631:ACX65669 TB65631:TB65669 JF65631:JF65669 J65631:J65669 WVR83:WVR121 WLV83:WLV121 WBZ83:WBZ121 VSD83:VSD121 VIH83:VIH121 UYL83:UYL121 UOP83:UOP121 UET83:UET121 TUX83:TUX121 TLB83:TLB121 TBF83:TBF121 SRJ83:SRJ121 SHN83:SHN121 RXR83:RXR121 RNV83:RNV121 RDZ83:RDZ121 QUD83:QUD121 QKH83:QKH121 QAL83:QAL121 PQP83:PQP121 PGT83:PGT121 OWX83:OWX121 ONB83:ONB121 ODF83:ODF121 NTJ83:NTJ121 NJN83:NJN121 MZR83:MZR121 MPV83:MPV121 MFZ83:MFZ121 LWD83:LWD121 LMH83:LMH121 LCL83:LCL121 KSP83:KSP121 KIT83:KIT121 JYX83:JYX121 JPB83:JPB121 JFF83:JFF121 IVJ83:IVJ121 ILN83:ILN121 IBR83:IBR121 HRV83:HRV121 HHZ83:HHZ121 GYD83:GYD121 GOH83:GOH121 GEL83:GEL121 FUP83:FUP121 FKT83:FKT121 FAX83:FAX121 ERB83:ERB121 EHF83:EHF121 DXJ83:DXJ121 DNN83:DNN121 DDR83:DDR121 CTV83:CTV121 CJZ83:CJZ121 CAD83:CAD121 BQH83:BQH121 BGL83:BGL121 AWP83:AWP121 AMT83:AMT121 ACX83:ACX121 TB83:TB121 JF83:JF121">
      <formula1>$A$194:$A$198</formula1>
    </dataValidation>
    <dataValidation type="list" allowBlank="1" showInputMessage="1" showErrorMessage="1" sqref="K24:K78 WVS983135:WVS983173 WLW983135:WLW983173 WCA983135:WCA983173 VSE983135:VSE983173 VII983135:VII983173 UYM983135:UYM983173 UOQ983135:UOQ983173 UEU983135:UEU983173 TUY983135:TUY983173 TLC983135:TLC983173 TBG983135:TBG983173 SRK983135:SRK983173 SHO983135:SHO983173 RXS983135:RXS983173 RNW983135:RNW983173 REA983135:REA983173 QUE983135:QUE983173 QKI983135:QKI983173 QAM983135:QAM983173 PQQ983135:PQQ983173 PGU983135:PGU983173 OWY983135:OWY983173 ONC983135:ONC983173 ODG983135:ODG983173 NTK983135:NTK983173 NJO983135:NJO983173 MZS983135:MZS983173 MPW983135:MPW983173 MGA983135:MGA983173 LWE983135:LWE983173 LMI983135:LMI983173 LCM983135:LCM983173 KSQ983135:KSQ983173 KIU983135:KIU983173 JYY983135:JYY983173 JPC983135:JPC983173 JFG983135:JFG983173 IVK983135:IVK983173 ILO983135:ILO983173 IBS983135:IBS983173 HRW983135:HRW983173 HIA983135:HIA983173 GYE983135:GYE983173 GOI983135:GOI983173 GEM983135:GEM983173 FUQ983135:FUQ983173 FKU983135:FKU983173 FAY983135:FAY983173 ERC983135:ERC983173 EHG983135:EHG983173 DXK983135:DXK983173 DNO983135:DNO983173 DDS983135:DDS983173 CTW983135:CTW983173 CKA983135:CKA983173 CAE983135:CAE983173 BQI983135:BQI983173 BGM983135:BGM983173 AWQ983135:AWQ983173 AMU983135:AMU983173 ACY983135:ACY983173 TC983135:TC983173 JG983135:JG983173 K983135:K983173 WVS917599:WVS917637 WLW917599:WLW917637 WCA917599:WCA917637 VSE917599:VSE917637 VII917599:VII917637 UYM917599:UYM917637 UOQ917599:UOQ917637 UEU917599:UEU917637 TUY917599:TUY917637 TLC917599:TLC917637 TBG917599:TBG917637 SRK917599:SRK917637 SHO917599:SHO917637 RXS917599:RXS917637 RNW917599:RNW917637 REA917599:REA917637 QUE917599:QUE917637 QKI917599:QKI917637 QAM917599:QAM917637 PQQ917599:PQQ917637 PGU917599:PGU917637 OWY917599:OWY917637 ONC917599:ONC917637 ODG917599:ODG917637 NTK917599:NTK917637 NJO917599:NJO917637 MZS917599:MZS917637 MPW917599:MPW917637 MGA917599:MGA917637 LWE917599:LWE917637 LMI917599:LMI917637 LCM917599:LCM917637 KSQ917599:KSQ917637 KIU917599:KIU917637 JYY917599:JYY917637 JPC917599:JPC917637 JFG917599:JFG917637 IVK917599:IVK917637 ILO917599:ILO917637 IBS917599:IBS917637 HRW917599:HRW917637 HIA917599:HIA917637 GYE917599:GYE917637 GOI917599:GOI917637 GEM917599:GEM917637 FUQ917599:FUQ917637 FKU917599:FKU917637 FAY917599:FAY917637 ERC917599:ERC917637 EHG917599:EHG917637 DXK917599:DXK917637 DNO917599:DNO917637 DDS917599:DDS917637 CTW917599:CTW917637 CKA917599:CKA917637 CAE917599:CAE917637 BQI917599:BQI917637 BGM917599:BGM917637 AWQ917599:AWQ917637 AMU917599:AMU917637 ACY917599:ACY917637 TC917599:TC917637 JG917599:JG917637 K917599:K917637 WVS852063:WVS852101 WLW852063:WLW852101 WCA852063:WCA852101 VSE852063:VSE852101 VII852063:VII852101 UYM852063:UYM852101 UOQ852063:UOQ852101 UEU852063:UEU852101 TUY852063:TUY852101 TLC852063:TLC852101 TBG852063:TBG852101 SRK852063:SRK852101 SHO852063:SHO852101 RXS852063:RXS852101 RNW852063:RNW852101 REA852063:REA852101 QUE852063:QUE852101 QKI852063:QKI852101 QAM852063:QAM852101 PQQ852063:PQQ852101 PGU852063:PGU852101 OWY852063:OWY852101 ONC852063:ONC852101 ODG852063:ODG852101 NTK852063:NTK852101 NJO852063:NJO852101 MZS852063:MZS852101 MPW852063:MPW852101 MGA852063:MGA852101 LWE852063:LWE852101 LMI852063:LMI852101 LCM852063:LCM852101 KSQ852063:KSQ852101 KIU852063:KIU852101 JYY852063:JYY852101 JPC852063:JPC852101 JFG852063:JFG852101 IVK852063:IVK852101 ILO852063:ILO852101 IBS852063:IBS852101 HRW852063:HRW852101 HIA852063:HIA852101 GYE852063:GYE852101 GOI852063:GOI852101 GEM852063:GEM852101 FUQ852063:FUQ852101 FKU852063:FKU852101 FAY852063:FAY852101 ERC852063:ERC852101 EHG852063:EHG852101 DXK852063:DXK852101 DNO852063:DNO852101 DDS852063:DDS852101 CTW852063:CTW852101 CKA852063:CKA852101 CAE852063:CAE852101 BQI852063:BQI852101 BGM852063:BGM852101 AWQ852063:AWQ852101 AMU852063:AMU852101 ACY852063:ACY852101 TC852063:TC852101 JG852063:JG852101 K852063:K852101 WVS786527:WVS786565 WLW786527:WLW786565 WCA786527:WCA786565 VSE786527:VSE786565 VII786527:VII786565 UYM786527:UYM786565 UOQ786527:UOQ786565 UEU786527:UEU786565 TUY786527:TUY786565 TLC786527:TLC786565 TBG786527:TBG786565 SRK786527:SRK786565 SHO786527:SHO786565 RXS786527:RXS786565 RNW786527:RNW786565 REA786527:REA786565 QUE786527:QUE786565 QKI786527:QKI786565 QAM786527:QAM786565 PQQ786527:PQQ786565 PGU786527:PGU786565 OWY786527:OWY786565 ONC786527:ONC786565 ODG786527:ODG786565 NTK786527:NTK786565 NJO786527:NJO786565 MZS786527:MZS786565 MPW786527:MPW786565 MGA786527:MGA786565 LWE786527:LWE786565 LMI786527:LMI786565 LCM786527:LCM786565 KSQ786527:KSQ786565 KIU786527:KIU786565 JYY786527:JYY786565 JPC786527:JPC786565 JFG786527:JFG786565 IVK786527:IVK786565 ILO786527:ILO786565 IBS786527:IBS786565 HRW786527:HRW786565 HIA786527:HIA786565 GYE786527:GYE786565 GOI786527:GOI786565 GEM786527:GEM786565 FUQ786527:FUQ786565 FKU786527:FKU786565 FAY786527:FAY786565 ERC786527:ERC786565 EHG786527:EHG786565 DXK786527:DXK786565 DNO786527:DNO786565 DDS786527:DDS786565 CTW786527:CTW786565 CKA786527:CKA786565 CAE786527:CAE786565 BQI786527:BQI786565 BGM786527:BGM786565 AWQ786527:AWQ786565 AMU786527:AMU786565 ACY786527:ACY786565 TC786527:TC786565 JG786527:JG786565 K786527:K786565 WVS720991:WVS721029 WLW720991:WLW721029 WCA720991:WCA721029 VSE720991:VSE721029 VII720991:VII721029 UYM720991:UYM721029 UOQ720991:UOQ721029 UEU720991:UEU721029 TUY720991:TUY721029 TLC720991:TLC721029 TBG720991:TBG721029 SRK720991:SRK721029 SHO720991:SHO721029 RXS720991:RXS721029 RNW720991:RNW721029 REA720991:REA721029 QUE720991:QUE721029 QKI720991:QKI721029 QAM720991:QAM721029 PQQ720991:PQQ721029 PGU720991:PGU721029 OWY720991:OWY721029 ONC720991:ONC721029 ODG720991:ODG721029 NTK720991:NTK721029 NJO720991:NJO721029 MZS720991:MZS721029 MPW720991:MPW721029 MGA720991:MGA721029 LWE720991:LWE721029 LMI720991:LMI721029 LCM720991:LCM721029 KSQ720991:KSQ721029 KIU720991:KIU721029 JYY720991:JYY721029 JPC720991:JPC721029 JFG720991:JFG721029 IVK720991:IVK721029 ILO720991:ILO721029 IBS720991:IBS721029 HRW720991:HRW721029 HIA720991:HIA721029 GYE720991:GYE721029 GOI720991:GOI721029 GEM720991:GEM721029 FUQ720991:FUQ721029 FKU720991:FKU721029 FAY720991:FAY721029 ERC720991:ERC721029 EHG720991:EHG721029 DXK720991:DXK721029 DNO720991:DNO721029 DDS720991:DDS721029 CTW720991:CTW721029 CKA720991:CKA721029 CAE720991:CAE721029 BQI720991:BQI721029 BGM720991:BGM721029 AWQ720991:AWQ721029 AMU720991:AMU721029 ACY720991:ACY721029 TC720991:TC721029 JG720991:JG721029 K720991:K721029 WVS655455:WVS655493 WLW655455:WLW655493 WCA655455:WCA655493 VSE655455:VSE655493 VII655455:VII655493 UYM655455:UYM655493 UOQ655455:UOQ655493 UEU655455:UEU655493 TUY655455:TUY655493 TLC655455:TLC655493 TBG655455:TBG655493 SRK655455:SRK655493 SHO655455:SHO655493 RXS655455:RXS655493 RNW655455:RNW655493 REA655455:REA655493 QUE655455:QUE655493 QKI655455:QKI655493 QAM655455:QAM655493 PQQ655455:PQQ655493 PGU655455:PGU655493 OWY655455:OWY655493 ONC655455:ONC655493 ODG655455:ODG655493 NTK655455:NTK655493 NJO655455:NJO655493 MZS655455:MZS655493 MPW655455:MPW655493 MGA655455:MGA655493 LWE655455:LWE655493 LMI655455:LMI655493 LCM655455:LCM655493 KSQ655455:KSQ655493 KIU655455:KIU655493 JYY655455:JYY655493 JPC655455:JPC655493 JFG655455:JFG655493 IVK655455:IVK655493 ILO655455:ILO655493 IBS655455:IBS655493 HRW655455:HRW655493 HIA655455:HIA655493 GYE655455:GYE655493 GOI655455:GOI655493 GEM655455:GEM655493 FUQ655455:FUQ655493 FKU655455:FKU655493 FAY655455:FAY655493 ERC655455:ERC655493 EHG655455:EHG655493 DXK655455:DXK655493 DNO655455:DNO655493 DDS655455:DDS655493 CTW655455:CTW655493 CKA655455:CKA655493 CAE655455:CAE655493 BQI655455:BQI655493 BGM655455:BGM655493 AWQ655455:AWQ655493 AMU655455:AMU655493 ACY655455:ACY655493 TC655455:TC655493 JG655455:JG655493 K655455:K655493 WVS589919:WVS589957 WLW589919:WLW589957 WCA589919:WCA589957 VSE589919:VSE589957 VII589919:VII589957 UYM589919:UYM589957 UOQ589919:UOQ589957 UEU589919:UEU589957 TUY589919:TUY589957 TLC589919:TLC589957 TBG589919:TBG589957 SRK589919:SRK589957 SHO589919:SHO589957 RXS589919:RXS589957 RNW589919:RNW589957 REA589919:REA589957 QUE589919:QUE589957 QKI589919:QKI589957 QAM589919:QAM589957 PQQ589919:PQQ589957 PGU589919:PGU589957 OWY589919:OWY589957 ONC589919:ONC589957 ODG589919:ODG589957 NTK589919:NTK589957 NJO589919:NJO589957 MZS589919:MZS589957 MPW589919:MPW589957 MGA589919:MGA589957 LWE589919:LWE589957 LMI589919:LMI589957 LCM589919:LCM589957 KSQ589919:KSQ589957 KIU589919:KIU589957 JYY589919:JYY589957 JPC589919:JPC589957 JFG589919:JFG589957 IVK589919:IVK589957 ILO589919:ILO589957 IBS589919:IBS589957 HRW589919:HRW589957 HIA589919:HIA589957 GYE589919:GYE589957 GOI589919:GOI589957 GEM589919:GEM589957 FUQ589919:FUQ589957 FKU589919:FKU589957 FAY589919:FAY589957 ERC589919:ERC589957 EHG589919:EHG589957 DXK589919:DXK589957 DNO589919:DNO589957 DDS589919:DDS589957 CTW589919:CTW589957 CKA589919:CKA589957 CAE589919:CAE589957 BQI589919:BQI589957 BGM589919:BGM589957 AWQ589919:AWQ589957 AMU589919:AMU589957 ACY589919:ACY589957 TC589919:TC589957 JG589919:JG589957 K589919:K589957 WVS524383:WVS524421 WLW524383:WLW524421 WCA524383:WCA524421 VSE524383:VSE524421 VII524383:VII524421 UYM524383:UYM524421 UOQ524383:UOQ524421 UEU524383:UEU524421 TUY524383:TUY524421 TLC524383:TLC524421 TBG524383:TBG524421 SRK524383:SRK524421 SHO524383:SHO524421 RXS524383:RXS524421 RNW524383:RNW524421 REA524383:REA524421 QUE524383:QUE524421 QKI524383:QKI524421 QAM524383:QAM524421 PQQ524383:PQQ524421 PGU524383:PGU524421 OWY524383:OWY524421 ONC524383:ONC524421 ODG524383:ODG524421 NTK524383:NTK524421 NJO524383:NJO524421 MZS524383:MZS524421 MPW524383:MPW524421 MGA524383:MGA524421 LWE524383:LWE524421 LMI524383:LMI524421 LCM524383:LCM524421 KSQ524383:KSQ524421 KIU524383:KIU524421 JYY524383:JYY524421 JPC524383:JPC524421 JFG524383:JFG524421 IVK524383:IVK524421 ILO524383:ILO524421 IBS524383:IBS524421 HRW524383:HRW524421 HIA524383:HIA524421 GYE524383:GYE524421 GOI524383:GOI524421 GEM524383:GEM524421 FUQ524383:FUQ524421 FKU524383:FKU524421 FAY524383:FAY524421 ERC524383:ERC524421 EHG524383:EHG524421 DXK524383:DXK524421 DNO524383:DNO524421 DDS524383:DDS524421 CTW524383:CTW524421 CKA524383:CKA524421 CAE524383:CAE524421 BQI524383:BQI524421 BGM524383:BGM524421 AWQ524383:AWQ524421 AMU524383:AMU524421 ACY524383:ACY524421 TC524383:TC524421 JG524383:JG524421 K524383:K524421 WVS458847:WVS458885 WLW458847:WLW458885 WCA458847:WCA458885 VSE458847:VSE458885 VII458847:VII458885 UYM458847:UYM458885 UOQ458847:UOQ458885 UEU458847:UEU458885 TUY458847:TUY458885 TLC458847:TLC458885 TBG458847:TBG458885 SRK458847:SRK458885 SHO458847:SHO458885 RXS458847:RXS458885 RNW458847:RNW458885 REA458847:REA458885 QUE458847:QUE458885 QKI458847:QKI458885 QAM458847:QAM458885 PQQ458847:PQQ458885 PGU458847:PGU458885 OWY458847:OWY458885 ONC458847:ONC458885 ODG458847:ODG458885 NTK458847:NTK458885 NJO458847:NJO458885 MZS458847:MZS458885 MPW458847:MPW458885 MGA458847:MGA458885 LWE458847:LWE458885 LMI458847:LMI458885 LCM458847:LCM458885 KSQ458847:KSQ458885 KIU458847:KIU458885 JYY458847:JYY458885 JPC458847:JPC458885 JFG458847:JFG458885 IVK458847:IVK458885 ILO458847:ILO458885 IBS458847:IBS458885 HRW458847:HRW458885 HIA458847:HIA458885 GYE458847:GYE458885 GOI458847:GOI458885 GEM458847:GEM458885 FUQ458847:FUQ458885 FKU458847:FKU458885 FAY458847:FAY458885 ERC458847:ERC458885 EHG458847:EHG458885 DXK458847:DXK458885 DNO458847:DNO458885 DDS458847:DDS458885 CTW458847:CTW458885 CKA458847:CKA458885 CAE458847:CAE458885 BQI458847:BQI458885 BGM458847:BGM458885 AWQ458847:AWQ458885 AMU458847:AMU458885 ACY458847:ACY458885 TC458847:TC458885 JG458847:JG458885 K458847:K458885 WVS393311:WVS393349 WLW393311:WLW393349 WCA393311:WCA393349 VSE393311:VSE393349 VII393311:VII393349 UYM393311:UYM393349 UOQ393311:UOQ393349 UEU393311:UEU393349 TUY393311:TUY393349 TLC393311:TLC393349 TBG393311:TBG393349 SRK393311:SRK393349 SHO393311:SHO393349 RXS393311:RXS393349 RNW393311:RNW393349 REA393311:REA393349 QUE393311:QUE393349 QKI393311:QKI393349 QAM393311:QAM393349 PQQ393311:PQQ393349 PGU393311:PGU393349 OWY393311:OWY393349 ONC393311:ONC393349 ODG393311:ODG393349 NTK393311:NTK393349 NJO393311:NJO393349 MZS393311:MZS393349 MPW393311:MPW393349 MGA393311:MGA393349 LWE393311:LWE393349 LMI393311:LMI393349 LCM393311:LCM393349 KSQ393311:KSQ393349 KIU393311:KIU393349 JYY393311:JYY393349 JPC393311:JPC393349 JFG393311:JFG393349 IVK393311:IVK393349 ILO393311:ILO393349 IBS393311:IBS393349 HRW393311:HRW393349 HIA393311:HIA393349 GYE393311:GYE393349 GOI393311:GOI393349 GEM393311:GEM393349 FUQ393311:FUQ393349 FKU393311:FKU393349 FAY393311:FAY393349 ERC393311:ERC393349 EHG393311:EHG393349 DXK393311:DXK393349 DNO393311:DNO393349 DDS393311:DDS393349 CTW393311:CTW393349 CKA393311:CKA393349 CAE393311:CAE393349 BQI393311:BQI393349 BGM393311:BGM393349 AWQ393311:AWQ393349 AMU393311:AMU393349 ACY393311:ACY393349 TC393311:TC393349 JG393311:JG393349 K393311:K393349 WVS327775:WVS327813 WLW327775:WLW327813 WCA327775:WCA327813 VSE327775:VSE327813 VII327775:VII327813 UYM327775:UYM327813 UOQ327775:UOQ327813 UEU327775:UEU327813 TUY327775:TUY327813 TLC327775:TLC327813 TBG327775:TBG327813 SRK327775:SRK327813 SHO327775:SHO327813 RXS327775:RXS327813 RNW327775:RNW327813 REA327775:REA327813 QUE327775:QUE327813 QKI327775:QKI327813 QAM327775:QAM327813 PQQ327775:PQQ327813 PGU327775:PGU327813 OWY327775:OWY327813 ONC327775:ONC327813 ODG327775:ODG327813 NTK327775:NTK327813 NJO327775:NJO327813 MZS327775:MZS327813 MPW327775:MPW327813 MGA327775:MGA327813 LWE327775:LWE327813 LMI327775:LMI327813 LCM327775:LCM327813 KSQ327775:KSQ327813 KIU327775:KIU327813 JYY327775:JYY327813 JPC327775:JPC327813 JFG327775:JFG327813 IVK327775:IVK327813 ILO327775:ILO327813 IBS327775:IBS327813 HRW327775:HRW327813 HIA327775:HIA327813 GYE327775:GYE327813 GOI327775:GOI327813 GEM327775:GEM327813 FUQ327775:FUQ327813 FKU327775:FKU327813 FAY327775:FAY327813 ERC327775:ERC327813 EHG327775:EHG327813 DXK327775:DXK327813 DNO327775:DNO327813 DDS327775:DDS327813 CTW327775:CTW327813 CKA327775:CKA327813 CAE327775:CAE327813 BQI327775:BQI327813 BGM327775:BGM327813 AWQ327775:AWQ327813 AMU327775:AMU327813 ACY327775:ACY327813 TC327775:TC327813 JG327775:JG327813 K327775:K327813 WVS262239:WVS262277 WLW262239:WLW262277 WCA262239:WCA262277 VSE262239:VSE262277 VII262239:VII262277 UYM262239:UYM262277 UOQ262239:UOQ262277 UEU262239:UEU262277 TUY262239:TUY262277 TLC262239:TLC262277 TBG262239:TBG262277 SRK262239:SRK262277 SHO262239:SHO262277 RXS262239:RXS262277 RNW262239:RNW262277 REA262239:REA262277 QUE262239:QUE262277 QKI262239:QKI262277 QAM262239:QAM262277 PQQ262239:PQQ262277 PGU262239:PGU262277 OWY262239:OWY262277 ONC262239:ONC262277 ODG262239:ODG262277 NTK262239:NTK262277 NJO262239:NJO262277 MZS262239:MZS262277 MPW262239:MPW262277 MGA262239:MGA262277 LWE262239:LWE262277 LMI262239:LMI262277 LCM262239:LCM262277 KSQ262239:KSQ262277 KIU262239:KIU262277 JYY262239:JYY262277 JPC262239:JPC262277 JFG262239:JFG262277 IVK262239:IVK262277 ILO262239:ILO262277 IBS262239:IBS262277 HRW262239:HRW262277 HIA262239:HIA262277 GYE262239:GYE262277 GOI262239:GOI262277 GEM262239:GEM262277 FUQ262239:FUQ262277 FKU262239:FKU262277 FAY262239:FAY262277 ERC262239:ERC262277 EHG262239:EHG262277 DXK262239:DXK262277 DNO262239:DNO262277 DDS262239:DDS262277 CTW262239:CTW262277 CKA262239:CKA262277 CAE262239:CAE262277 BQI262239:BQI262277 BGM262239:BGM262277 AWQ262239:AWQ262277 AMU262239:AMU262277 ACY262239:ACY262277 TC262239:TC262277 JG262239:JG262277 K262239:K262277 WVS196703:WVS196741 WLW196703:WLW196741 WCA196703:WCA196741 VSE196703:VSE196741 VII196703:VII196741 UYM196703:UYM196741 UOQ196703:UOQ196741 UEU196703:UEU196741 TUY196703:TUY196741 TLC196703:TLC196741 TBG196703:TBG196741 SRK196703:SRK196741 SHO196703:SHO196741 RXS196703:RXS196741 RNW196703:RNW196741 REA196703:REA196741 QUE196703:QUE196741 QKI196703:QKI196741 QAM196703:QAM196741 PQQ196703:PQQ196741 PGU196703:PGU196741 OWY196703:OWY196741 ONC196703:ONC196741 ODG196703:ODG196741 NTK196703:NTK196741 NJO196703:NJO196741 MZS196703:MZS196741 MPW196703:MPW196741 MGA196703:MGA196741 LWE196703:LWE196741 LMI196703:LMI196741 LCM196703:LCM196741 KSQ196703:KSQ196741 KIU196703:KIU196741 JYY196703:JYY196741 JPC196703:JPC196741 JFG196703:JFG196741 IVK196703:IVK196741 ILO196703:ILO196741 IBS196703:IBS196741 HRW196703:HRW196741 HIA196703:HIA196741 GYE196703:GYE196741 GOI196703:GOI196741 GEM196703:GEM196741 FUQ196703:FUQ196741 FKU196703:FKU196741 FAY196703:FAY196741 ERC196703:ERC196741 EHG196703:EHG196741 DXK196703:DXK196741 DNO196703:DNO196741 DDS196703:DDS196741 CTW196703:CTW196741 CKA196703:CKA196741 CAE196703:CAE196741 BQI196703:BQI196741 BGM196703:BGM196741 AWQ196703:AWQ196741 AMU196703:AMU196741 ACY196703:ACY196741 TC196703:TC196741 JG196703:JG196741 K196703:K196741 WVS131167:WVS131205 WLW131167:WLW131205 WCA131167:WCA131205 VSE131167:VSE131205 VII131167:VII131205 UYM131167:UYM131205 UOQ131167:UOQ131205 UEU131167:UEU131205 TUY131167:TUY131205 TLC131167:TLC131205 TBG131167:TBG131205 SRK131167:SRK131205 SHO131167:SHO131205 RXS131167:RXS131205 RNW131167:RNW131205 REA131167:REA131205 QUE131167:QUE131205 QKI131167:QKI131205 QAM131167:QAM131205 PQQ131167:PQQ131205 PGU131167:PGU131205 OWY131167:OWY131205 ONC131167:ONC131205 ODG131167:ODG131205 NTK131167:NTK131205 NJO131167:NJO131205 MZS131167:MZS131205 MPW131167:MPW131205 MGA131167:MGA131205 LWE131167:LWE131205 LMI131167:LMI131205 LCM131167:LCM131205 KSQ131167:KSQ131205 KIU131167:KIU131205 JYY131167:JYY131205 JPC131167:JPC131205 JFG131167:JFG131205 IVK131167:IVK131205 ILO131167:ILO131205 IBS131167:IBS131205 HRW131167:HRW131205 HIA131167:HIA131205 GYE131167:GYE131205 GOI131167:GOI131205 GEM131167:GEM131205 FUQ131167:FUQ131205 FKU131167:FKU131205 FAY131167:FAY131205 ERC131167:ERC131205 EHG131167:EHG131205 DXK131167:DXK131205 DNO131167:DNO131205 DDS131167:DDS131205 CTW131167:CTW131205 CKA131167:CKA131205 CAE131167:CAE131205 BQI131167:BQI131205 BGM131167:BGM131205 AWQ131167:AWQ131205 AMU131167:AMU131205 ACY131167:ACY131205 TC131167:TC131205 JG131167:JG131205 K131167:K131205 WVS65631:WVS65669 WLW65631:WLW65669 WCA65631:WCA65669 VSE65631:VSE65669 VII65631:VII65669 UYM65631:UYM65669 UOQ65631:UOQ65669 UEU65631:UEU65669 TUY65631:TUY65669 TLC65631:TLC65669 TBG65631:TBG65669 SRK65631:SRK65669 SHO65631:SHO65669 RXS65631:RXS65669 RNW65631:RNW65669 REA65631:REA65669 QUE65631:QUE65669 QKI65631:QKI65669 QAM65631:QAM65669 PQQ65631:PQQ65669 PGU65631:PGU65669 OWY65631:OWY65669 ONC65631:ONC65669 ODG65631:ODG65669 NTK65631:NTK65669 NJO65631:NJO65669 MZS65631:MZS65669 MPW65631:MPW65669 MGA65631:MGA65669 LWE65631:LWE65669 LMI65631:LMI65669 LCM65631:LCM65669 KSQ65631:KSQ65669 KIU65631:KIU65669 JYY65631:JYY65669 JPC65631:JPC65669 JFG65631:JFG65669 IVK65631:IVK65669 ILO65631:ILO65669 IBS65631:IBS65669 HRW65631:HRW65669 HIA65631:HIA65669 GYE65631:GYE65669 GOI65631:GOI65669 GEM65631:GEM65669 FUQ65631:FUQ65669 FKU65631:FKU65669 FAY65631:FAY65669 ERC65631:ERC65669 EHG65631:EHG65669 DXK65631:DXK65669 DNO65631:DNO65669 DDS65631:DDS65669 CTW65631:CTW65669 CKA65631:CKA65669 CAE65631:CAE65669 BQI65631:BQI65669 BGM65631:BGM65669 AWQ65631:AWQ65669 AMU65631:AMU65669 ACY65631:ACY65669 TC65631:TC65669 JG65631:JG65669 K65631:K65669 WVS83:WVS121 WLW83:WLW121 WCA83:WCA121 VSE83:VSE121 VII83:VII121 UYM83:UYM121 UOQ83:UOQ121 UEU83:UEU121 TUY83:TUY121 TLC83:TLC121 TBG83:TBG121 SRK83:SRK121 SHO83:SHO121 RXS83:RXS121 RNW83:RNW121 REA83:REA121 QUE83:QUE121 QKI83:QKI121 QAM83:QAM121 PQQ83:PQQ121 PGU83:PGU121 OWY83:OWY121 ONC83:ONC121 ODG83:ODG121 NTK83:NTK121 NJO83:NJO121 MZS83:MZS121 MPW83:MPW121 MGA83:MGA121 LWE83:LWE121 LMI83:LMI121 LCM83:LCM121 KSQ83:KSQ121 KIU83:KIU121 JYY83:JYY121 JPC83:JPC121 JFG83:JFG121 IVK83:IVK121 ILO83:ILO121 IBS83:IBS121 HRW83:HRW121 HIA83:HIA121 GYE83:GYE121 GOI83:GOI121 GEM83:GEM121 FUQ83:FUQ121 FKU83:FKU121 FAY83:FAY121 ERC83:ERC121 EHG83:EHG121 DXK83:DXK121 DNO83:DNO121 DDS83:DDS121 CTW83:CTW121 CKA83:CKA121 CAE83:CAE121 BQI83:BQI121 BGM83:BGM121 AWQ83:AWQ121 AMU83:AMU121 ACY83:ACY121 TC83:TC121 JG83:JG121 K83:K121 WVS983077:WVS983130 WLW983077:WLW983130 WCA983077:WCA983130 VSE983077:VSE983130 VII983077:VII983130 UYM983077:UYM983130 UOQ983077:UOQ983130 UEU983077:UEU983130 TUY983077:TUY983130 TLC983077:TLC983130 TBG983077:TBG983130 SRK983077:SRK983130 SHO983077:SHO983130 RXS983077:RXS983130 RNW983077:RNW983130 REA983077:REA983130 QUE983077:QUE983130 QKI983077:QKI983130 QAM983077:QAM983130 PQQ983077:PQQ983130 PGU983077:PGU983130 OWY983077:OWY983130 ONC983077:ONC983130 ODG983077:ODG983130 NTK983077:NTK983130 NJO983077:NJO983130 MZS983077:MZS983130 MPW983077:MPW983130 MGA983077:MGA983130 LWE983077:LWE983130 LMI983077:LMI983130 LCM983077:LCM983130 KSQ983077:KSQ983130 KIU983077:KIU983130 JYY983077:JYY983130 JPC983077:JPC983130 JFG983077:JFG983130 IVK983077:IVK983130 ILO983077:ILO983130 IBS983077:IBS983130 HRW983077:HRW983130 HIA983077:HIA983130 GYE983077:GYE983130 GOI983077:GOI983130 GEM983077:GEM983130 FUQ983077:FUQ983130 FKU983077:FKU983130 FAY983077:FAY983130 ERC983077:ERC983130 EHG983077:EHG983130 DXK983077:DXK983130 DNO983077:DNO983130 DDS983077:DDS983130 CTW983077:CTW983130 CKA983077:CKA983130 CAE983077:CAE983130 BQI983077:BQI983130 BGM983077:BGM983130 AWQ983077:AWQ983130 AMU983077:AMU983130 ACY983077:ACY983130 TC983077:TC983130 JG983077:JG983130 K983077:K983130 WVS917541:WVS917594 WLW917541:WLW917594 WCA917541:WCA917594 VSE917541:VSE917594 VII917541:VII917594 UYM917541:UYM917594 UOQ917541:UOQ917594 UEU917541:UEU917594 TUY917541:TUY917594 TLC917541:TLC917594 TBG917541:TBG917594 SRK917541:SRK917594 SHO917541:SHO917594 RXS917541:RXS917594 RNW917541:RNW917594 REA917541:REA917594 QUE917541:QUE917594 QKI917541:QKI917594 QAM917541:QAM917594 PQQ917541:PQQ917594 PGU917541:PGU917594 OWY917541:OWY917594 ONC917541:ONC917594 ODG917541:ODG917594 NTK917541:NTK917594 NJO917541:NJO917594 MZS917541:MZS917594 MPW917541:MPW917594 MGA917541:MGA917594 LWE917541:LWE917594 LMI917541:LMI917594 LCM917541:LCM917594 KSQ917541:KSQ917594 KIU917541:KIU917594 JYY917541:JYY917594 JPC917541:JPC917594 JFG917541:JFG917594 IVK917541:IVK917594 ILO917541:ILO917594 IBS917541:IBS917594 HRW917541:HRW917594 HIA917541:HIA917594 GYE917541:GYE917594 GOI917541:GOI917594 GEM917541:GEM917594 FUQ917541:FUQ917594 FKU917541:FKU917594 FAY917541:FAY917594 ERC917541:ERC917594 EHG917541:EHG917594 DXK917541:DXK917594 DNO917541:DNO917594 DDS917541:DDS917594 CTW917541:CTW917594 CKA917541:CKA917594 CAE917541:CAE917594 BQI917541:BQI917594 BGM917541:BGM917594 AWQ917541:AWQ917594 AMU917541:AMU917594 ACY917541:ACY917594 TC917541:TC917594 JG917541:JG917594 K917541:K917594 WVS852005:WVS852058 WLW852005:WLW852058 WCA852005:WCA852058 VSE852005:VSE852058 VII852005:VII852058 UYM852005:UYM852058 UOQ852005:UOQ852058 UEU852005:UEU852058 TUY852005:TUY852058 TLC852005:TLC852058 TBG852005:TBG852058 SRK852005:SRK852058 SHO852005:SHO852058 RXS852005:RXS852058 RNW852005:RNW852058 REA852005:REA852058 QUE852005:QUE852058 QKI852005:QKI852058 QAM852005:QAM852058 PQQ852005:PQQ852058 PGU852005:PGU852058 OWY852005:OWY852058 ONC852005:ONC852058 ODG852005:ODG852058 NTK852005:NTK852058 NJO852005:NJO852058 MZS852005:MZS852058 MPW852005:MPW852058 MGA852005:MGA852058 LWE852005:LWE852058 LMI852005:LMI852058 LCM852005:LCM852058 KSQ852005:KSQ852058 KIU852005:KIU852058 JYY852005:JYY852058 JPC852005:JPC852058 JFG852005:JFG852058 IVK852005:IVK852058 ILO852005:ILO852058 IBS852005:IBS852058 HRW852005:HRW852058 HIA852005:HIA852058 GYE852005:GYE852058 GOI852005:GOI852058 GEM852005:GEM852058 FUQ852005:FUQ852058 FKU852005:FKU852058 FAY852005:FAY852058 ERC852005:ERC852058 EHG852005:EHG852058 DXK852005:DXK852058 DNO852005:DNO852058 DDS852005:DDS852058 CTW852005:CTW852058 CKA852005:CKA852058 CAE852005:CAE852058 BQI852005:BQI852058 BGM852005:BGM852058 AWQ852005:AWQ852058 AMU852005:AMU852058 ACY852005:ACY852058 TC852005:TC852058 JG852005:JG852058 K852005:K852058 WVS786469:WVS786522 WLW786469:WLW786522 WCA786469:WCA786522 VSE786469:VSE786522 VII786469:VII786522 UYM786469:UYM786522 UOQ786469:UOQ786522 UEU786469:UEU786522 TUY786469:TUY786522 TLC786469:TLC786522 TBG786469:TBG786522 SRK786469:SRK786522 SHO786469:SHO786522 RXS786469:RXS786522 RNW786469:RNW786522 REA786469:REA786522 QUE786469:QUE786522 QKI786469:QKI786522 QAM786469:QAM786522 PQQ786469:PQQ786522 PGU786469:PGU786522 OWY786469:OWY786522 ONC786469:ONC786522 ODG786469:ODG786522 NTK786469:NTK786522 NJO786469:NJO786522 MZS786469:MZS786522 MPW786469:MPW786522 MGA786469:MGA786522 LWE786469:LWE786522 LMI786469:LMI786522 LCM786469:LCM786522 KSQ786469:KSQ786522 KIU786469:KIU786522 JYY786469:JYY786522 JPC786469:JPC786522 JFG786469:JFG786522 IVK786469:IVK786522 ILO786469:ILO786522 IBS786469:IBS786522 HRW786469:HRW786522 HIA786469:HIA786522 GYE786469:GYE786522 GOI786469:GOI786522 GEM786469:GEM786522 FUQ786469:FUQ786522 FKU786469:FKU786522 FAY786469:FAY786522 ERC786469:ERC786522 EHG786469:EHG786522 DXK786469:DXK786522 DNO786469:DNO786522 DDS786469:DDS786522 CTW786469:CTW786522 CKA786469:CKA786522 CAE786469:CAE786522 BQI786469:BQI786522 BGM786469:BGM786522 AWQ786469:AWQ786522 AMU786469:AMU786522 ACY786469:ACY786522 TC786469:TC786522 JG786469:JG786522 K786469:K786522 WVS720933:WVS720986 WLW720933:WLW720986 WCA720933:WCA720986 VSE720933:VSE720986 VII720933:VII720986 UYM720933:UYM720986 UOQ720933:UOQ720986 UEU720933:UEU720986 TUY720933:TUY720986 TLC720933:TLC720986 TBG720933:TBG720986 SRK720933:SRK720986 SHO720933:SHO720986 RXS720933:RXS720986 RNW720933:RNW720986 REA720933:REA720986 QUE720933:QUE720986 QKI720933:QKI720986 QAM720933:QAM720986 PQQ720933:PQQ720986 PGU720933:PGU720986 OWY720933:OWY720986 ONC720933:ONC720986 ODG720933:ODG720986 NTK720933:NTK720986 NJO720933:NJO720986 MZS720933:MZS720986 MPW720933:MPW720986 MGA720933:MGA720986 LWE720933:LWE720986 LMI720933:LMI720986 LCM720933:LCM720986 KSQ720933:KSQ720986 KIU720933:KIU720986 JYY720933:JYY720986 JPC720933:JPC720986 JFG720933:JFG720986 IVK720933:IVK720986 ILO720933:ILO720986 IBS720933:IBS720986 HRW720933:HRW720986 HIA720933:HIA720986 GYE720933:GYE720986 GOI720933:GOI720986 GEM720933:GEM720986 FUQ720933:FUQ720986 FKU720933:FKU720986 FAY720933:FAY720986 ERC720933:ERC720986 EHG720933:EHG720986 DXK720933:DXK720986 DNO720933:DNO720986 DDS720933:DDS720986 CTW720933:CTW720986 CKA720933:CKA720986 CAE720933:CAE720986 BQI720933:BQI720986 BGM720933:BGM720986 AWQ720933:AWQ720986 AMU720933:AMU720986 ACY720933:ACY720986 TC720933:TC720986 JG720933:JG720986 K720933:K720986 WVS655397:WVS655450 WLW655397:WLW655450 WCA655397:WCA655450 VSE655397:VSE655450 VII655397:VII655450 UYM655397:UYM655450 UOQ655397:UOQ655450 UEU655397:UEU655450 TUY655397:TUY655450 TLC655397:TLC655450 TBG655397:TBG655450 SRK655397:SRK655450 SHO655397:SHO655450 RXS655397:RXS655450 RNW655397:RNW655450 REA655397:REA655450 QUE655397:QUE655450 QKI655397:QKI655450 QAM655397:QAM655450 PQQ655397:PQQ655450 PGU655397:PGU655450 OWY655397:OWY655450 ONC655397:ONC655450 ODG655397:ODG655450 NTK655397:NTK655450 NJO655397:NJO655450 MZS655397:MZS655450 MPW655397:MPW655450 MGA655397:MGA655450 LWE655397:LWE655450 LMI655397:LMI655450 LCM655397:LCM655450 KSQ655397:KSQ655450 KIU655397:KIU655450 JYY655397:JYY655450 JPC655397:JPC655450 JFG655397:JFG655450 IVK655397:IVK655450 ILO655397:ILO655450 IBS655397:IBS655450 HRW655397:HRW655450 HIA655397:HIA655450 GYE655397:GYE655450 GOI655397:GOI655450 GEM655397:GEM655450 FUQ655397:FUQ655450 FKU655397:FKU655450 FAY655397:FAY655450 ERC655397:ERC655450 EHG655397:EHG655450 DXK655397:DXK655450 DNO655397:DNO655450 DDS655397:DDS655450 CTW655397:CTW655450 CKA655397:CKA655450 CAE655397:CAE655450 BQI655397:BQI655450 BGM655397:BGM655450 AWQ655397:AWQ655450 AMU655397:AMU655450 ACY655397:ACY655450 TC655397:TC655450 JG655397:JG655450 K655397:K655450 WVS589861:WVS589914 WLW589861:WLW589914 WCA589861:WCA589914 VSE589861:VSE589914 VII589861:VII589914 UYM589861:UYM589914 UOQ589861:UOQ589914 UEU589861:UEU589914 TUY589861:TUY589914 TLC589861:TLC589914 TBG589861:TBG589914 SRK589861:SRK589914 SHO589861:SHO589914 RXS589861:RXS589914 RNW589861:RNW589914 REA589861:REA589914 QUE589861:QUE589914 QKI589861:QKI589914 QAM589861:QAM589914 PQQ589861:PQQ589914 PGU589861:PGU589914 OWY589861:OWY589914 ONC589861:ONC589914 ODG589861:ODG589914 NTK589861:NTK589914 NJO589861:NJO589914 MZS589861:MZS589914 MPW589861:MPW589914 MGA589861:MGA589914 LWE589861:LWE589914 LMI589861:LMI589914 LCM589861:LCM589914 KSQ589861:KSQ589914 KIU589861:KIU589914 JYY589861:JYY589914 JPC589861:JPC589914 JFG589861:JFG589914 IVK589861:IVK589914 ILO589861:ILO589914 IBS589861:IBS589914 HRW589861:HRW589914 HIA589861:HIA589914 GYE589861:GYE589914 GOI589861:GOI589914 GEM589861:GEM589914 FUQ589861:FUQ589914 FKU589861:FKU589914 FAY589861:FAY589914 ERC589861:ERC589914 EHG589861:EHG589914 DXK589861:DXK589914 DNO589861:DNO589914 DDS589861:DDS589914 CTW589861:CTW589914 CKA589861:CKA589914 CAE589861:CAE589914 BQI589861:BQI589914 BGM589861:BGM589914 AWQ589861:AWQ589914 AMU589861:AMU589914 ACY589861:ACY589914 TC589861:TC589914 JG589861:JG589914 K589861:K589914 WVS524325:WVS524378 WLW524325:WLW524378 WCA524325:WCA524378 VSE524325:VSE524378 VII524325:VII524378 UYM524325:UYM524378 UOQ524325:UOQ524378 UEU524325:UEU524378 TUY524325:TUY524378 TLC524325:TLC524378 TBG524325:TBG524378 SRK524325:SRK524378 SHO524325:SHO524378 RXS524325:RXS524378 RNW524325:RNW524378 REA524325:REA524378 QUE524325:QUE524378 QKI524325:QKI524378 QAM524325:QAM524378 PQQ524325:PQQ524378 PGU524325:PGU524378 OWY524325:OWY524378 ONC524325:ONC524378 ODG524325:ODG524378 NTK524325:NTK524378 NJO524325:NJO524378 MZS524325:MZS524378 MPW524325:MPW524378 MGA524325:MGA524378 LWE524325:LWE524378 LMI524325:LMI524378 LCM524325:LCM524378 KSQ524325:KSQ524378 KIU524325:KIU524378 JYY524325:JYY524378 JPC524325:JPC524378 JFG524325:JFG524378 IVK524325:IVK524378 ILO524325:ILO524378 IBS524325:IBS524378 HRW524325:HRW524378 HIA524325:HIA524378 GYE524325:GYE524378 GOI524325:GOI524378 GEM524325:GEM524378 FUQ524325:FUQ524378 FKU524325:FKU524378 FAY524325:FAY524378 ERC524325:ERC524378 EHG524325:EHG524378 DXK524325:DXK524378 DNO524325:DNO524378 DDS524325:DDS524378 CTW524325:CTW524378 CKA524325:CKA524378 CAE524325:CAE524378 BQI524325:BQI524378 BGM524325:BGM524378 AWQ524325:AWQ524378 AMU524325:AMU524378 ACY524325:ACY524378 TC524325:TC524378 JG524325:JG524378 K524325:K524378 WVS458789:WVS458842 WLW458789:WLW458842 WCA458789:WCA458842 VSE458789:VSE458842 VII458789:VII458842 UYM458789:UYM458842 UOQ458789:UOQ458842 UEU458789:UEU458842 TUY458789:TUY458842 TLC458789:TLC458842 TBG458789:TBG458842 SRK458789:SRK458842 SHO458789:SHO458842 RXS458789:RXS458842 RNW458789:RNW458842 REA458789:REA458842 QUE458789:QUE458842 QKI458789:QKI458842 QAM458789:QAM458842 PQQ458789:PQQ458842 PGU458789:PGU458842 OWY458789:OWY458842 ONC458789:ONC458842 ODG458789:ODG458842 NTK458789:NTK458842 NJO458789:NJO458842 MZS458789:MZS458842 MPW458789:MPW458842 MGA458789:MGA458842 LWE458789:LWE458842 LMI458789:LMI458842 LCM458789:LCM458842 KSQ458789:KSQ458842 KIU458789:KIU458842 JYY458789:JYY458842 JPC458789:JPC458842 JFG458789:JFG458842 IVK458789:IVK458842 ILO458789:ILO458842 IBS458789:IBS458842 HRW458789:HRW458842 HIA458789:HIA458842 GYE458789:GYE458842 GOI458789:GOI458842 GEM458789:GEM458842 FUQ458789:FUQ458842 FKU458789:FKU458842 FAY458789:FAY458842 ERC458789:ERC458842 EHG458789:EHG458842 DXK458789:DXK458842 DNO458789:DNO458842 DDS458789:DDS458842 CTW458789:CTW458842 CKA458789:CKA458842 CAE458789:CAE458842 BQI458789:BQI458842 BGM458789:BGM458842 AWQ458789:AWQ458842 AMU458789:AMU458842 ACY458789:ACY458842 TC458789:TC458842 JG458789:JG458842 K458789:K458842 WVS393253:WVS393306 WLW393253:WLW393306 WCA393253:WCA393306 VSE393253:VSE393306 VII393253:VII393306 UYM393253:UYM393306 UOQ393253:UOQ393306 UEU393253:UEU393306 TUY393253:TUY393306 TLC393253:TLC393306 TBG393253:TBG393306 SRK393253:SRK393306 SHO393253:SHO393306 RXS393253:RXS393306 RNW393253:RNW393306 REA393253:REA393306 QUE393253:QUE393306 QKI393253:QKI393306 QAM393253:QAM393306 PQQ393253:PQQ393306 PGU393253:PGU393306 OWY393253:OWY393306 ONC393253:ONC393306 ODG393253:ODG393306 NTK393253:NTK393306 NJO393253:NJO393306 MZS393253:MZS393306 MPW393253:MPW393306 MGA393253:MGA393306 LWE393253:LWE393306 LMI393253:LMI393306 LCM393253:LCM393306 KSQ393253:KSQ393306 KIU393253:KIU393306 JYY393253:JYY393306 JPC393253:JPC393306 JFG393253:JFG393306 IVK393253:IVK393306 ILO393253:ILO393306 IBS393253:IBS393306 HRW393253:HRW393306 HIA393253:HIA393306 GYE393253:GYE393306 GOI393253:GOI393306 GEM393253:GEM393306 FUQ393253:FUQ393306 FKU393253:FKU393306 FAY393253:FAY393306 ERC393253:ERC393306 EHG393253:EHG393306 DXK393253:DXK393306 DNO393253:DNO393306 DDS393253:DDS393306 CTW393253:CTW393306 CKA393253:CKA393306 CAE393253:CAE393306 BQI393253:BQI393306 BGM393253:BGM393306 AWQ393253:AWQ393306 AMU393253:AMU393306 ACY393253:ACY393306 TC393253:TC393306 JG393253:JG393306 K393253:K393306 WVS327717:WVS327770 WLW327717:WLW327770 WCA327717:WCA327770 VSE327717:VSE327770 VII327717:VII327770 UYM327717:UYM327770 UOQ327717:UOQ327770 UEU327717:UEU327770 TUY327717:TUY327770 TLC327717:TLC327770 TBG327717:TBG327770 SRK327717:SRK327770 SHO327717:SHO327770 RXS327717:RXS327770 RNW327717:RNW327770 REA327717:REA327770 QUE327717:QUE327770 QKI327717:QKI327770 QAM327717:QAM327770 PQQ327717:PQQ327770 PGU327717:PGU327770 OWY327717:OWY327770 ONC327717:ONC327770 ODG327717:ODG327770 NTK327717:NTK327770 NJO327717:NJO327770 MZS327717:MZS327770 MPW327717:MPW327770 MGA327717:MGA327770 LWE327717:LWE327770 LMI327717:LMI327770 LCM327717:LCM327770 KSQ327717:KSQ327770 KIU327717:KIU327770 JYY327717:JYY327770 JPC327717:JPC327770 JFG327717:JFG327770 IVK327717:IVK327770 ILO327717:ILO327770 IBS327717:IBS327770 HRW327717:HRW327770 HIA327717:HIA327770 GYE327717:GYE327770 GOI327717:GOI327770 GEM327717:GEM327770 FUQ327717:FUQ327770 FKU327717:FKU327770 FAY327717:FAY327770 ERC327717:ERC327770 EHG327717:EHG327770 DXK327717:DXK327770 DNO327717:DNO327770 DDS327717:DDS327770 CTW327717:CTW327770 CKA327717:CKA327770 CAE327717:CAE327770 BQI327717:BQI327770 BGM327717:BGM327770 AWQ327717:AWQ327770 AMU327717:AMU327770 ACY327717:ACY327770 TC327717:TC327770 JG327717:JG327770 K327717:K327770 WVS262181:WVS262234 WLW262181:WLW262234 WCA262181:WCA262234 VSE262181:VSE262234 VII262181:VII262234 UYM262181:UYM262234 UOQ262181:UOQ262234 UEU262181:UEU262234 TUY262181:TUY262234 TLC262181:TLC262234 TBG262181:TBG262234 SRK262181:SRK262234 SHO262181:SHO262234 RXS262181:RXS262234 RNW262181:RNW262234 REA262181:REA262234 QUE262181:QUE262234 QKI262181:QKI262234 QAM262181:QAM262234 PQQ262181:PQQ262234 PGU262181:PGU262234 OWY262181:OWY262234 ONC262181:ONC262234 ODG262181:ODG262234 NTK262181:NTK262234 NJO262181:NJO262234 MZS262181:MZS262234 MPW262181:MPW262234 MGA262181:MGA262234 LWE262181:LWE262234 LMI262181:LMI262234 LCM262181:LCM262234 KSQ262181:KSQ262234 KIU262181:KIU262234 JYY262181:JYY262234 JPC262181:JPC262234 JFG262181:JFG262234 IVK262181:IVK262234 ILO262181:ILO262234 IBS262181:IBS262234 HRW262181:HRW262234 HIA262181:HIA262234 GYE262181:GYE262234 GOI262181:GOI262234 GEM262181:GEM262234 FUQ262181:FUQ262234 FKU262181:FKU262234 FAY262181:FAY262234 ERC262181:ERC262234 EHG262181:EHG262234 DXK262181:DXK262234 DNO262181:DNO262234 DDS262181:DDS262234 CTW262181:CTW262234 CKA262181:CKA262234 CAE262181:CAE262234 BQI262181:BQI262234 BGM262181:BGM262234 AWQ262181:AWQ262234 AMU262181:AMU262234 ACY262181:ACY262234 TC262181:TC262234 JG262181:JG262234 K262181:K262234 WVS196645:WVS196698 WLW196645:WLW196698 WCA196645:WCA196698 VSE196645:VSE196698 VII196645:VII196698 UYM196645:UYM196698 UOQ196645:UOQ196698 UEU196645:UEU196698 TUY196645:TUY196698 TLC196645:TLC196698 TBG196645:TBG196698 SRK196645:SRK196698 SHO196645:SHO196698 RXS196645:RXS196698 RNW196645:RNW196698 REA196645:REA196698 QUE196645:QUE196698 QKI196645:QKI196698 QAM196645:QAM196698 PQQ196645:PQQ196698 PGU196645:PGU196698 OWY196645:OWY196698 ONC196645:ONC196698 ODG196645:ODG196698 NTK196645:NTK196698 NJO196645:NJO196698 MZS196645:MZS196698 MPW196645:MPW196698 MGA196645:MGA196698 LWE196645:LWE196698 LMI196645:LMI196698 LCM196645:LCM196698 KSQ196645:KSQ196698 KIU196645:KIU196698 JYY196645:JYY196698 JPC196645:JPC196698 JFG196645:JFG196698 IVK196645:IVK196698 ILO196645:ILO196698 IBS196645:IBS196698 HRW196645:HRW196698 HIA196645:HIA196698 GYE196645:GYE196698 GOI196645:GOI196698 GEM196645:GEM196698 FUQ196645:FUQ196698 FKU196645:FKU196698 FAY196645:FAY196698 ERC196645:ERC196698 EHG196645:EHG196698 DXK196645:DXK196698 DNO196645:DNO196698 DDS196645:DDS196698 CTW196645:CTW196698 CKA196645:CKA196698 CAE196645:CAE196698 BQI196645:BQI196698 BGM196645:BGM196698 AWQ196645:AWQ196698 AMU196645:AMU196698 ACY196645:ACY196698 TC196645:TC196698 JG196645:JG196698 K196645:K196698 WVS131109:WVS131162 WLW131109:WLW131162 WCA131109:WCA131162 VSE131109:VSE131162 VII131109:VII131162 UYM131109:UYM131162 UOQ131109:UOQ131162 UEU131109:UEU131162 TUY131109:TUY131162 TLC131109:TLC131162 TBG131109:TBG131162 SRK131109:SRK131162 SHO131109:SHO131162 RXS131109:RXS131162 RNW131109:RNW131162 REA131109:REA131162 QUE131109:QUE131162 QKI131109:QKI131162 QAM131109:QAM131162 PQQ131109:PQQ131162 PGU131109:PGU131162 OWY131109:OWY131162 ONC131109:ONC131162 ODG131109:ODG131162 NTK131109:NTK131162 NJO131109:NJO131162 MZS131109:MZS131162 MPW131109:MPW131162 MGA131109:MGA131162 LWE131109:LWE131162 LMI131109:LMI131162 LCM131109:LCM131162 KSQ131109:KSQ131162 KIU131109:KIU131162 JYY131109:JYY131162 JPC131109:JPC131162 JFG131109:JFG131162 IVK131109:IVK131162 ILO131109:ILO131162 IBS131109:IBS131162 HRW131109:HRW131162 HIA131109:HIA131162 GYE131109:GYE131162 GOI131109:GOI131162 GEM131109:GEM131162 FUQ131109:FUQ131162 FKU131109:FKU131162 FAY131109:FAY131162 ERC131109:ERC131162 EHG131109:EHG131162 DXK131109:DXK131162 DNO131109:DNO131162 DDS131109:DDS131162 CTW131109:CTW131162 CKA131109:CKA131162 CAE131109:CAE131162 BQI131109:BQI131162 BGM131109:BGM131162 AWQ131109:AWQ131162 AMU131109:AMU131162 ACY131109:ACY131162 TC131109:TC131162 JG131109:JG131162 K131109:K131162 WVS65573:WVS65626 WLW65573:WLW65626 WCA65573:WCA65626 VSE65573:VSE65626 VII65573:VII65626 UYM65573:UYM65626 UOQ65573:UOQ65626 UEU65573:UEU65626 TUY65573:TUY65626 TLC65573:TLC65626 TBG65573:TBG65626 SRK65573:SRK65626 SHO65573:SHO65626 RXS65573:RXS65626 RNW65573:RNW65626 REA65573:REA65626 QUE65573:QUE65626 QKI65573:QKI65626 QAM65573:QAM65626 PQQ65573:PQQ65626 PGU65573:PGU65626 OWY65573:OWY65626 ONC65573:ONC65626 ODG65573:ODG65626 NTK65573:NTK65626 NJO65573:NJO65626 MZS65573:MZS65626 MPW65573:MPW65626 MGA65573:MGA65626 LWE65573:LWE65626 LMI65573:LMI65626 LCM65573:LCM65626 KSQ65573:KSQ65626 KIU65573:KIU65626 JYY65573:JYY65626 JPC65573:JPC65626 JFG65573:JFG65626 IVK65573:IVK65626 ILO65573:ILO65626 IBS65573:IBS65626 HRW65573:HRW65626 HIA65573:HIA65626 GYE65573:GYE65626 GOI65573:GOI65626 GEM65573:GEM65626 FUQ65573:FUQ65626 FKU65573:FKU65626 FAY65573:FAY65626 ERC65573:ERC65626 EHG65573:EHG65626 DXK65573:DXK65626 DNO65573:DNO65626 DDS65573:DDS65626 CTW65573:CTW65626 CKA65573:CKA65626 CAE65573:CAE65626 BQI65573:BQI65626 BGM65573:BGM65626 AWQ65573:AWQ65626 AMU65573:AMU65626 ACY65573:ACY65626 TC65573:TC65626 JG65573:JG65626 K65573:K65626 WVS24:WVS78 WLW24:WLW78 WCA24:WCA78 VSE24:VSE78 VII24:VII78 UYM24:UYM78 UOQ24:UOQ78 UEU24:UEU78 TUY24:TUY78 TLC24:TLC78 TBG24:TBG78 SRK24:SRK78 SHO24:SHO78 RXS24:RXS78 RNW24:RNW78 REA24:REA78 QUE24:QUE78 QKI24:QKI78 QAM24:QAM78 PQQ24:PQQ78 PGU24:PGU78 OWY24:OWY78 ONC24:ONC78 ODG24:ODG78 NTK24:NTK78 NJO24:NJO78 MZS24:MZS78 MPW24:MPW78 MGA24:MGA78 LWE24:LWE78 LMI24:LMI78 LCM24:LCM78 KSQ24:KSQ78 KIU24:KIU78 JYY24:JYY78 JPC24:JPC78 JFG24:JFG78 IVK24:IVK78 ILO24:ILO78 IBS24:IBS78 HRW24:HRW78 HIA24:HIA78 GYE24:GYE78 GOI24:GOI78 GEM24:GEM78 FUQ24:FUQ78 FKU24:FKU78 FAY24:FAY78 ERC24:ERC78 EHG24:EHG78 DXK24:DXK78 DNO24:DNO78 DDS24:DDS78 CTW24:CTW78 CKA24:CKA78 CAE24:CAE78 BQI24:BQI78 BGM24:BGM78 AWQ24:AWQ78 AMU24:AMU78 ACY24:ACY78 TC24:TC78 JG24:JG78">
      <formula1>$B$194:$B$198</formula1>
    </dataValidation>
  </dataValidations>
  <pageMargins left="0.7" right="0.7" top="0.75" bottom="0.75" header="0.3" footer="0.3"/>
  <ignoredErrors>
    <ignoredError sqref="C6:D6 D13 C4:E4 C5:D5" unlockedFormula="1"/>
  </ignoredErrors>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21"/>
  <sheetViews>
    <sheetView topLeftCell="A8" zoomScaleNormal="100" workbookViewId="0">
      <selection activeCell="B21" sqref="B21"/>
    </sheetView>
  </sheetViews>
  <sheetFormatPr baseColWidth="10" defaultColWidth="16.109375" defaultRowHeight="14.4" x14ac:dyDescent="0.3"/>
  <cols>
    <col min="1" max="1" width="33.6640625" style="410" customWidth="1"/>
    <col min="2" max="2" width="28.44140625" style="410" customWidth="1"/>
    <col min="3" max="4" width="28.44140625" style="410" hidden="1" customWidth="1"/>
    <col min="5" max="5" width="27" style="410" customWidth="1"/>
    <col min="6" max="6" width="21" style="410" customWidth="1"/>
    <col min="7" max="7" width="21.33203125" style="410" customWidth="1"/>
    <col min="8" max="8" width="38.44140625" style="410" customWidth="1"/>
    <col min="9" max="9" width="19.109375" style="410" customWidth="1"/>
    <col min="10" max="10" width="23.109375" style="323" customWidth="1"/>
    <col min="11" max="11" width="28.44140625" style="410" customWidth="1"/>
    <col min="12" max="12" width="23.6640625" style="410" customWidth="1"/>
    <col min="13" max="13" width="25.6640625" style="410" customWidth="1"/>
    <col min="14" max="14" width="14.44140625" style="410" customWidth="1"/>
    <col min="15" max="234" width="11.44140625" style="410" customWidth="1"/>
    <col min="235" max="16384" width="16.109375" style="410"/>
  </cols>
  <sheetData>
    <row r="1" spans="1:17" ht="15.6" x14ac:dyDescent="0.3">
      <c r="A1" s="619"/>
      <c r="E1" s="2087"/>
      <c r="F1" s="2087"/>
      <c r="G1" s="2087"/>
      <c r="H1" s="2087"/>
      <c r="I1" s="2087"/>
      <c r="J1" s="2087"/>
      <c r="K1" s="2087"/>
      <c r="L1" s="2087"/>
    </row>
    <row r="2" spans="1:17" ht="50.25" customHeight="1" x14ac:dyDescent="0.3">
      <c r="A2" s="2088"/>
      <c r="B2" s="2091" t="s">
        <v>1691</v>
      </c>
      <c r="C2" s="2092"/>
      <c r="D2" s="2092"/>
      <c r="E2" s="2092"/>
      <c r="F2" s="2092"/>
      <c r="G2" s="2092"/>
      <c r="H2" s="2093"/>
      <c r="I2" s="2097" t="s">
        <v>1697</v>
      </c>
      <c r="J2" s="2098"/>
    </row>
    <row r="3" spans="1:17" ht="43.5" customHeight="1" x14ac:dyDescent="0.3">
      <c r="A3" s="2088"/>
      <c r="B3" s="2094"/>
      <c r="C3" s="2095"/>
      <c r="D3" s="2095"/>
      <c r="E3" s="2095"/>
      <c r="F3" s="2095"/>
      <c r="G3" s="2095"/>
      <c r="H3" s="2096"/>
      <c r="I3" s="2097" t="s">
        <v>1689</v>
      </c>
      <c r="J3" s="2098"/>
    </row>
    <row r="4" spans="1:17" x14ac:dyDescent="0.3">
      <c r="A4" s="619"/>
      <c r="B4" s="619"/>
      <c r="C4" s="619"/>
      <c r="D4" s="619"/>
      <c r="E4" s="619"/>
      <c r="F4" s="619"/>
      <c r="G4" s="619"/>
      <c r="H4" s="620"/>
      <c r="I4" s="620"/>
      <c r="J4" s="619"/>
      <c r="L4" s="620"/>
    </row>
    <row r="5" spans="1:17" ht="25.5" customHeight="1" x14ac:dyDescent="0.3">
      <c r="A5" s="621" t="s">
        <v>1</v>
      </c>
      <c r="B5" s="2089" t="str">
        <f>+FENECIMIENTO!D5</f>
        <v>204 - Instituto de Desarrollo Urbano – IDU</v>
      </c>
      <c r="C5" s="2090"/>
      <c r="D5" s="2090"/>
      <c r="E5" s="2090"/>
      <c r="F5" s="2090"/>
      <c r="G5" s="1267"/>
      <c r="H5" s="1267"/>
      <c r="I5" s="1267"/>
      <c r="J5" s="1267"/>
      <c r="L5" s="620"/>
    </row>
    <row r="6" spans="1:17" ht="33.75" customHeight="1" x14ac:dyDescent="0.3">
      <c r="A6" s="621" t="s">
        <v>1005</v>
      </c>
      <c r="B6" s="2083" t="s">
        <v>1762</v>
      </c>
      <c r="C6" s="2083"/>
      <c r="D6" s="2083"/>
      <c r="E6" s="2083"/>
      <c r="F6" s="2083"/>
      <c r="G6" s="622" t="s">
        <v>772</v>
      </c>
      <c r="H6" s="1745">
        <f>+FENECIMIENTO!K5</f>
        <v>2024</v>
      </c>
      <c r="I6" s="1745"/>
      <c r="J6" s="1745"/>
      <c r="L6" s="620"/>
    </row>
    <row r="7" spans="1:17" ht="39" customHeight="1" x14ac:dyDescent="0.3">
      <c r="A7" s="621" t="s">
        <v>1006</v>
      </c>
      <c r="B7" s="2084">
        <f>+FENECIMIENTO!D7</f>
        <v>45693</v>
      </c>
      <c r="C7" s="2083"/>
      <c r="D7" s="2083"/>
      <c r="E7" s="2083"/>
      <c r="F7" s="2083"/>
      <c r="G7" s="622" t="s">
        <v>122</v>
      </c>
      <c r="H7" s="2084">
        <f>+FENECIMIENTO!K7</f>
        <v>45693</v>
      </c>
      <c r="I7" s="2083"/>
      <c r="J7" s="2083"/>
      <c r="L7" s="620"/>
    </row>
    <row r="8" spans="1:17" ht="15.75" customHeight="1" x14ac:dyDescent="0.3">
      <c r="A8" s="2085"/>
      <c r="B8" s="2085"/>
      <c r="C8" s="2085"/>
      <c r="D8" s="2085"/>
      <c r="E8" s="2085"/>
      <c r="F8" s="2085"/>
      <c r="G8" s="2085"/>
      <c r="H8" s="2085"/>
      <c r="I8" s="2085"/>
      <c r="J8" s="2085"/>
      <c r="K8" s="623"/>
    </row>
    <row r="9" spans="1:17" ht="17.399999999999999" x14ac:dyDescent="0.3">
      <c r="A9" s="2086" t="s">
        <v>1007</v>
      </c>
      <c r="B9" s="2086"/>
      <c r="C9" s="2086"/>
      <c r="D9" s="2086"/>
      <c r="E9" s="2086"/>
      <c r="F9" s="2086"/>
      <c r="G9" s="2086"/>
      <c r="H9" s="2086"/>
      <c r="I9" s="2086"/>
      <c r="J9" s="2086"/>
      <c r="K9" s="624"/>
    </row>
    <row r="10" spans="1:17" ht="32.25" customHeight="1" x14ac:dyDescent="0.3">
      <c r="A10" s="2053" t="s">
        <v>1008</v>
      </c>
      <c r="B10" s="2055" t="s">
        <v>1009</v>
      </c>
      <c r="C10" s="2055" t="s">
        <v>1010</v>
      </c>
      <c r="D10" s="2055" t="s">
        <v>1011</v>
      </c>
      <c r="E10" s="2057" t="s">
        <v>1012</v>
      </c>
      <c r="F10" s="2057" t="s">
        <v>1013</v>
      </c>
      <c r="G10" s="2048" t="s">
        <v>1014</v>
      </c>
      <c r="H10" s="2049"/>
      <c r="I10" s="2048" t="s">
        <v>1015</v>
      </c>
      <c r="J10" s="2050"/>
      <c r="K10" s="625"/>
    </row>
    <row r="11" spans="1:17" ht="23.25" customHeight="1" x14ac:dyDescent="0.3">
      <c r="A11" s="2054"/>
      <c r="B11" s="2056"/>
      <c r="C11" s="2056"/>
      <c r="D11" s="2056"/>
      <c r="E11" s="2057"/>
      <c r="F11" s="2057"/>
      <c r="G11" s="2051" t="s">
        <v>193</v>
      </c>
      <c r="H11" s="2051" t="s">
        <v>195</v>
      </c>
      <c r="I11" s="2052" t="s">
        <v>1016</v>
      </c>
      <c r="J11" s="2052" t="s">
        <v>1017</v>
      </c>
      <c r="K11" s="625"/>
      <c r="L11" s="626"/>
      <c r="M11" s="627"/>
      <c r="N11" s="628"/>
      <c r="O11" s="628"/>
      <c r="P11" s="628"/>
      <c r="Q11" s="628"/>
    </row>
    <row r="12" spans="1:17" ht="25.5" customHeight="1" x14ac:dyDescent="0.3">
      <c r="A12" s="2054"/>
      <c r="B12" s="2056"/>
      <c r="C12" s="2056"/>
      <c r="D12" s="2056"/>
      <c r="E12" s="2055"/>
      <c r="F12" s="2055"/>
      <c r="G12" s="2051"/>
      <c r="H12" s="2051"/>
      <c r="I12" s="2052"/>
      <c r="J12" s="2052"/>
      <c r="K12" s="625"/>
      <c r="L12" s="626"/>
      <c r="M12" s="629"/>
      <c r="N12" s="629"/>
      <c r="O12" s="630"/>
      <c r="P12" s="630"/>
      <c r="Q12" s="630"/>
    </row>
    <row r="13" spans="1:17" ht="44.25" customHeight="1" x14ac:dyDescent="0.3">
      <c r="A13" s="631" t="s">
        <v>1018</v>
      </c>
      <c r="B13" s="632">
        <v>0.35</v>
      </c>
      <c r="C13" s="632">
        <f>IF(ISNUMBER(G13),$B13,0)</f>
        <v>0.35</v>
      </c>
      <c r="D13" s="632">
        <f>IF(ISNUMBER(H13),$B13,0)</f>
        <v>0.35</v>
      </c>
      <c r="E13" s="632">
        <f>IFERROR(C13/C$17,"")</f>
        <v>0.35</v>
      </c>
      <c r="F13" s="633">
        <f>IFERROR(D13/$D$17,"")</f>
        <v>0.41176470588235292</v>
      </c>
      <c r="G13" s="634">
        <f>IFERROR(AVERAGEIF($I$34:$I$63,"EFICACIA",$M$34:$M$63),"")</f>
        <v>0.79749999999999988</v>
      </c>
      <c r="H13" s="635">
        <f>IFERROR(AVERAGEIF($I$34:$I$63,"EFICIENCIA",$M34:$M63),"")</f>
        <v>0.81299999999999994</v>
      </c>
      <c r="I13" s="636">
        <f>IFERROR(G13*$E13,"")</f>
        <v>0.27912499999999996</v>
      </c>
      <c r="J13" s="636">
        <f>IFERROR(H13*$F13,"")</f>
        <v>0.33476470588235291</v>
      </c>
      <c r="K13" s="637"/>
      <c r="L13" s="626"/>
      <c r="M13" s="629"/>
      <c r="N13" s="629"/>
      <c r="O13" s="630"/>
      <c r="P13" s="630"/>
      <c r="Q13" s="630"/>
    </row>
    <row r="14" spans="1:17" ht="56.25" customHeight="1" x14ac:dyDescent="0.3">
      <c r="A14" s="631" t="s">
        <v>1019</v>
      </c>
      <c r="B14" s="632">
        <v>0.15</v>
      </c>
      <c r="C14" s="632">
        <f t="shared" ref="C14:D16" si="0">IF(ISNUMBER(G14),$B14,0)</f>
        <v>0.15</v>
      </c>
      <c r="D14" s="632">
        <f t="shared" si="0"/>
        <v>0</v>
      </c>
      <c r="E14" s="632">
        <f>IFERROR(C14/C$17,"")</f>
        <v>0.15</v>
      </c>
      <c r="F14" s="633">
        <f>IFERROR(D14/$D$17,"")</f>
        <v>0</v>
      </c>
      <c r="G14" s="634">
        <f>IFERROR(AVERAGEIF($I$65:$I$74,"EFICACIA",$M$65:$M$74),"")</f>
        <v>0.83333333333333337</v>
      </c>
      <c r="H14" s="635" t="str">
        <f>IFERROR(AVERAGEIF($I$65:$I$74,"EFICIENCIA",$M$65:$M$74),"")</f>
        <v/>
      </c>
      <c r="I14" s="636">
        <f>IFERROR(G14*$E14,"")</f>
        <v>0.125</v>
      </c>
      <c r="J14" s="636" t="str">
        <f>IFERROR(H14*$F14,"")</f>
        <v/>
      </c>
      <c r="K14" s="637"/>
      <c r="L14" s="626"/>
      <c r="M14" s="629"/>
      <c r="N14" s="629"/>
      <c r="O14" s="630"/>
      <c r="P14" s="630"/>
      <c r="Q14" s="630"/>
    </row>
    <row r="15" spans="1:17" ht="40.5" customHeight="1" x14ac:dyDescent="0.3">
      <c r="A15" s="631" t="s">
        <v>1020</v>
      </c>
      <c r="B15" s="632">
        <v>0.15</v>
      </c>
      <c r="C15" s="632">
        <f t="shared" si="0"/>
        <v>0.15</v>
      </c>
      <c r="D15" s="632">
        <f t="shared" si="0"/>
        <v>0.15</v>
      </c>
      <c r="E15" s="632">
        <f>IFERROR(C15/C$17,"")</f>
        <v>0.15</v>
      </c>
      <c r="F15" s="633">
        <f>IFERROR(D15/$D$17,"")</f>
        <v>0.17647058823529413</v>
      </c>
      <c r="G15" s="634">
        <f>IFERROR(AVERAGEIF($I$75:$I$81,"EFICACIA",$M$75:$M$81),"")</f>
        <v>0.79999999999999993</v>
      </c>
      <c r="H15" s="635">
        <f>IFERROR(AVERAGEIF($I$75:$I$81,"EFICIENCIA",$M75:$M81),"")</f>
        <v>0.85</v>
      </c>
      <c r="I15" s="636">
        <f>IFERROR(G15*$E15,"")</f>
        <v>0.11999999999999998</v>
      </c>
      <c r="J15" s="636">
        <f>IFERROR(H15*$F15,"")</f>
        <v>0.15</v>
      </c>
      <c r="K15" s="637"/>
      <c r="L15" s="626"/>
      <c r="M15" s="629"/>
      <c r="N15" s="629"/>
      <c r="O15" s="630"/>
      <c r="P15" s="630"/>
      <c r="Q15" s="630"/>
    </row>
    <row r="16" spans="1:17" ht="40.5" customHeight="1" x14ac:dyDescent="0.3">
      <c r="A16" s="631" t="s">
        <v>1021</v>
      </c>
      <c r="B16" s="632">
        <v>0.35</v>
      </c>
      <c r="C16" s="632">
        <f t="shared" si="0"/>
        <v>0.35</v>
      </c>
      <c r="D16" s="632">
        <f t="shared" si="0"/>
        <v>0.35</v>
      </c>
      <c r="E16" s="632">
        <f>IFERROR(C16/C$17,"")</f>
        <v>0.35</v>
      </c>
      <c r="F16" s="633">
        <f>IFERROR(D16/$D$17,"")</f>
        <v>0.41176470588235292</v>
      </c>
      <c r="G16" s="634">
        <f>IFERROR(AVERAGEIF($I$82:$I$87,"EFICACIA",$M$82:$M$87),"")</f>
        <v>0.75</v>
      </c>
      <c r="H16" s="635">
        <f>IFERROR(AVERAGEIF($I$82:$I$87,"EFICIENCIA",$M$82:$M$87),"")</f>
        <v>0.83000000000000007</v>
      </c>
      <c r="I16" s="636">
        <f>IFERROR(G16*$E16,"")</f>
        <v>0.26249999999999996</v>
      </c>
      <c r="J16" s="636">
        <f>IFERROR(H16*$F16,"")</f>
        <v>0.34176470588235297</v>
      </c>
      <c r="K16" s="637"/>
      <c r="L16" s="626"/>
      <c r="M16" s="629"/>
      <c r="N16" s="629"/>
      <c r="O16" s="630"/>
      <c r="P16" s="630"/>
      <c r="Q16" s="630"/>
    </row>
    <row r="17" spans="1:17" ht="23.4" x14ac:dyDescent="0.3">
      <c r="A17" s="638" t="s">
        <v>1022</v>
      </c>
      <c r="B17" s="639">
        <f>SUM(B13:B16)</f>
        <v>1</v>
      </c>
      <c r="C17" s="639">
        <f>SUM(C13:C16)</f>
        <v>1</v>
      </c>
      <c r="D17" s="639">
        <f>SUM(D13:D16)</f>
        <v>0.85</v>
      </c>
      <c r="E17" s="639">
        <f>SUM(E13:E16)</f>
        <v>1</v>
      </c>
      <c r="F17" s="640">
        <f>SUM(F13:F16)</f>
        <v>1</v>
      </c>
      <c r="G17" s="2046" t="s">
        <v>200</v>
      </c>
      <c r="H17" s="2047"/>
      <c r="I17" s="641">
        <f>IF(COUNT(I13:I16)&gt;0,SUM(I13:I16),"")</f>
        <v>0.78662499999999991</v>
      </c>
      <c r="J17" s="641">
        <f>IF(COUNT(J13:J16)&gt;0,SUM(J13:J16),"")</f>
        <v>0.82652941176470585</v>
      </c>
      <c r="K17" s="642"/>
      <c r="L17" s="626"/>
      <c r="M17" s="643"/>
      <c r="N17" s="644"/>
      <c r="O17" s="644"/>
      <c r="Q17" s="630"/>
    </row>
    <row r="18" spans="1:17" ht="34.5" customHeight="1" thickBot="1" x14ac:dyDescent="0.35">
      <c r="A18" s="645"/>
      <c r="B18" s="624"/>
      <c r="C18" s="624"/>
      <c r="D18" s="624"/>
      <c r="E18" s="624"/>
      <c r="F18" s="624"/>
      <c r="G18" s="2058" t="str">
        <f>IF(ISNUMBER(I18),IF(I18&gt;=75%,"EFECTIVO","INEFECTIVO"),"")</f>
        <v>EFECTIVO</v>
      </c>
      <c r="H18" s="2059"/>
      <c r="I18" s="2060">
        <f>IFERROR(AVERAGE(I17:J17),"")</f>
        <v>0.80657720588235282</v>
      </c>
      <c r="J18" s="2061"/>
      <c r="K18" s="624"/>
      <c r="L18" s="626"/>
      <c r="M18" s="626"/>
      <c r="N18" s="646"/>
    </row>
    <row r="19" spans="1:17" ht="21" customHeight="1" x14ac:dyDescent="0.3">
      <c r="A19" s="647"/>
      <c r="E19" s="624"/>
      <c r="F19" s="624"/>
      <c r="G19" s="648" t="s">
        <v>288</v>
      </c>
      <c r="H19" s="649" t="s">
        <v>1023</v>
      </c>
      <c r="I19" s="624"/>
      <c r="J19" s="650"/>
      <c r="K19" s="624"/>
    </row>
    <row r="20" spans="1:17" ht="21.75" customHeight="1" thickBot="1" x14ac:dyDescent="0.35">
      <c r="A20" s="651"/>
      <c r="B20" s="652"/>
      <c r="C20" s="652"/>
      <c r="D20" s="652"/>
      <c r="E20" s="653"/>
      <c r="F20" s="653"/>
      <c r="G20" s="654" t="s">
        <v>287</v>
      </c>
      <c r="H20" s="655" t="s">
        <v>1024</v>
      </c>
      <c r="I20" s="652"/>
      <c r="J20" s="656"/>
    </row>
    <row r="21" spans="1:17" ht="15" customHeight="1" x14ac:dyDescent="0.3">
      <c r="E21" s="624"/>
      <c r="F21" s="624"/>
      <c r="G21" s="657"/>
      <c r="H21" s="658"/>
    </row>
    <row r="22" spans="1:17" ht="111" customHeight="1" x14ac:dyDescent="0.3">
      <c r="A22" s="2062" t="s">
        <v>1025</v>
      </c>
      <c r="B22" s="2063"/>
      <c r="C22" s="2063"/>
      <c r="D22" s="2063"/>
      <c r="E22" s="2063"/>
      <c r="F22" s="2063"/>
      <c r="G22" s="2063"/>
      <c r="H22" s="2063"/>
      <c r="I22" s="2063"/>
      <c r="J22" s="2064"/>
    </row>
    <row r="23" spans="1:17" ht="15" customHeight="1" thickBot="1" x14ac:dyDescent="0.35">
      <c r="A23" s="2065"/>
      <c r="B23" s="2065"/>
      <c r="C23" s="2065"/>
      <c r="D23" s="2065"/>
      <c r="E23" s="2065"/>
      <c r="F23" s="2065"/>
      <c r="G23" s="2065"/>
      <c r="H23" s="2065"/>
    </row>
    <row r="24" spans="1:17" ht="15" thickBot="1" x14ac:dyDescent="0.35">
      <c r="E24" s="659" t="s">
        <v>179</v>
      </c>
      <c r="F24" s="660" t="s">
        <v>211</v>
      </c>
    </row>
    <row r="25" spans="1:17" ht="27.75" customHeight="1" x14ac:dyDescent="0.3">
      <c r="E25" s="648" t="s">
        <v>288</v>
      </c>
      <c r="F25" s="649" t="s">
        <v>1023</v>
      </c>
    </row>
    <row r="26" spans="1:17" ht="16.2" thickBot="1" x14ac:dyDescent="0.35">
      <c r="E26" s="654" t="s">
        <v>287</v>
      </c>
      <c r="F26" s="655" t="s">
        <v>1024</v>
      </c>
    </row>
    <row r="27" spans="1:17" s="661" customFormat="1" ht="15.6" x14ac:dyDescent="0.3">
      <c r="E27" s="662"/>
      <c r="F27" s="663"/>
      <c r="J27" s="341"/>
    </row>
    <row r="28" spans="1:17" ht="21" x14ac:dyDescent="0.3">
      <c r="A28" s="2066" t="s">
        <v>1026</v>
      </c>
      <c r="B28" s="2067"/>
      <c r="C28" s="2067"/>
      <c r="D28" s="2067"/>
      <c r="E28" s="2067"/>
      <c r="F28" s="2067"/>
      <c r="G28" s="2067"/>
      <c r="H28" s="2067"/>
      <c r="I28" s="2067"/>
      <c r="J28" s="2067"/>
      <c r="K28" s="2067"/>
      <c r="L28" s="2067"/>
      <c r="M28" s="2068"/>
    </row>
    <row r="29" spans="1:17" ht="15" thickBot="1" x14ac:dyDescent="0.35">
      <c r="A29" s="664"/>
      <c r="B29" s="665"/>
      <c r="C29" s="665"/>
      <c r="D29" s="665"/>
      <c r="E29" s="665"/>
      <c r="F29" s="665"/>
      <c r="G29" s="665"/>
      <c r="H29" s="665"/>
      <c r="I29" s="665"/>
      <c r="J29" s="666"/>
      <c r="K29" s="665"/>
      <c r="L29" s="665"/>
      <c r="M29" s="624"/>
    </row>
    <row r="30" spans="1:17" ht="15" thickBot="1" x14ac:dyDescent="0.35">
      <c r="A30" s="2069" t="s">
        <v>1008</v>
      </c>
      <c r="B30" s="2072" t="s">
        <v>1027</v>
      </c>
      <c r="C30" s="2072"/>
      <c r="D30" s="2072"/>
      <c r="E30" s="2073"/>
      <c r="F30" s="2073"/>
      <c r="G30" s="2073"/>
      <c r="H30" s="2073"/>
      <c r="I30" s="2073"/>
      <c r="J30" s="2073"/>
      <c r="K30" s="2073"/>
      <c r="L30" s="2074"/>
      <c r="M30" s="2075" t="s">
        <v>178</v>
      </c>
    </row>
    <row r="31" spans="1:17" ht="38.25" customHeight="1" x14ac:dyDescent="0.3">
      <c r="A31" s="2070"/>
      <c r="B31" s="2078" t="s">
        <v>1028</v>
      </c>
      <c r="C31" s="2078"/>
      <c r="D31" s="2078"/>
      <c r="E31" s="2079"/>
      <c r="F31" s="2079"/>
      <c r="G31" s="2079"/>
      <c r="H31" s="2079"/>
      <c r="I31" s="2079" t="s">
        <v>209</v>
      </c>
      <c r="J31" s="2079" t="s">
        <v>1029</v>
      </c>
      <c r="K31" s="2079" t="s">
        <v>1030</v>
      </c>
      <c r="L31" s="2081" t="s">
        <v>1031</v>
      </c>
      <c r="M31" s="2076"/>
    </row>
    <row r="32" spans="1:17" ht="76.5" customHeight="1" thickBot="1" x14ac:dyDescent="0.35">
      <c r="A32" s="2071"/>
      <c r="B32" s="667" t="s">
        <v>465</v>
      </c>
      <c r="C32" s="667"/>
      <c r="D32" s="667"/>
      <c r="E32" s="668" t="s">
        <v>1032</v>
      </c>
      <c r="F32" s="668" t="s">
        <v>1033</v>
      </c>
      <c r="G32" s="668" t="s">
        <v>1034</v>
      </c>
      <c r="H32" s="668" t="s">
        <v>1035</v>
      </c>
      <c r="I32" s="2080"/>
      <c r="J32" s="2080"/>
      <c r="K32" s="2080"/>
      <c r="L32" s="2082"/>
      <c r="M32" s="2077"/>
    </row>
    <row r="33" spans="1:13" ht="36" customHeight="1" x14ac:dyDescent="0.3">
      <c r="A33" s="2024" t="s">
        <v>1036</v>
      </c>
      <c r="B33" s="2027" t="s">
        <v>1037</v>
      </c>
      <c r="C33" s="2028"/>
      <c r="D33" s="2028"/>
      <c r="E33" s="2028"/>
      <c r="F33" s="2028"/>
      <c r="G33" s="2028"/>
      <c r="H33" s="2028"/>
      <c r="I33" s="2028"/>
      <c r="J33" s="2028"/>
      <c r="K33" s="2028"/>
      <c r="L33" s="2028"/>
      <c r="M33" s="2029"/>
    </row>
    <row r="34" spans="1:13" ht="71.25" customHeight="1" x14ac:dyDescent="0.3">
      <c r="A34" s="2025"/>
      <c r="B34" s="669" t="s">
        <v>1038</v>
      </c>
      <c r="C34" s="669"/>
      <c r="D34" s="669"/>
      <c r="E34" s="670" t="s">
        <v>1039</v>
      </c>
      <c r="F34" s="671">
        <f>23462378626/28180338979</f>
        <v>0.8325797160738263</v>
      </c>
      <c r="G34" s="672" t="s">
        <v>1040</v>
      </c>
      <c r="H34" s="673" t="s">
        <v>1041</v>
      </c>
      <c r="I34" s="674" t="s">
        <v>193</v>
      </c>
      <c r="J34" s="2030" t="s">
        <v>1042</v>
      </c>
      <c r="K34" s="675" t="s">
        <v>1043</v>
      </c>
      <c r="L34" s="2021" t="s">
        <v>1044</v>
      </c>
      <c r="M34" s="676">
        <v>0.78</v>
      </c>
    </row>
    <row r="35" spans="1:13" ht="63.75" customHeight="1" x14ac:dyDescent="0.3">
      <c r="A35" s="2025"/>
      <c r="B35" s="669" t="s">
        <v>1045</v>
      </c>
      <c r="C35" s="669"/>
      <c r="D35" s="669"/>
      <c r="E35" s="670" t="s">
        <v>1046</v>
      </c>
      <c r="F35" s="677">
        <f>23462378626-28180338979</f>
        <v>-4717960353</v>
      </c>
      <c r="G35" s="672" t="s">
        <v>1047</v>
      </c>
      <c r="H35" s="673" t="s">
        <v>1048</v>
      </c>
      <c r="I35" s="2009" t="s">
        <v>193</v>
      </c>
      <c r="J35" s="2030"/>
      <c r="K35" s="2001" t="s">
        <v>1049</v>
      </c>
      <c r="L35" s="2031"/>
      <c r="M35" s="2008">
        <v>0.85</v>
      </c>
    </row>
    <row r="36" spans="1:13" ht="97.5" customHeight="1" x14ac:dyDescent="0.3">
      <c r="A36" s="2025"/>
      <c r="B36" s="678" t="s">
        <v>1050</v>
      </c>
      <c r="C36" s="678"/>
      <c r="D36" s="678"/>
      <c r="E36" s="675" t="s">
        <v>1051</v>
      </c>
      <c r="F36" s="679"/>
      <c r="G36" s="672" t="s">
        <v>1052</v>
      </c>
      <c r="H36" s="673" t="s">
        <v>1053</v>
      </c>
      <c r="I36" s="2009"/>
      <c r="J36" s="2030"/>
      <c r="K36" s="2001"/>
      <c r="L36" s="2031"/>
      <c r="M36" s="2008"/>
    </row>
    <row r="37" spans="1:13" ht="86.25" customHeight="1" x14ac:dyDescent="0.3">
      <c r="A37" s="2025"/>
      <c r="B37" s="678" t="s">
        <v>1054</v>
      </c>
      <c r="C37" s="678"/>
      <c r="D37" s="678"/>
      <c r="E37" s="670" t="s">
        <v>1055</v>
      </c>
      <c r="F37" s="671">
        <f>68837292084/298129722718*100</f>
        <v>23.089711235908197</v>
      </c>
      <c r="G37" s="672" t="s">
        <v>1040</v>
      </c>
      <c r="H37" s="673" t="s">
        <v>1056</v>
      </c>
      <c r="I37" s="674" t="s">
        <v>193</v>
      </c>
      <c r="J37" s="1998" t="s">
        <v>1057</v>
      </c>
      <c r="K37" s="670" t="s">
        <v>1058</v>
      </c>
      <c r="L37" s="2031"/>
      <c r="M37" s="676">
        <v>0.8</v>
      </c>
    </row>
    <row r="38" spans="1:13" ht="72" customHeight="1" x14ac:dyDescent="0.3">
      <c r="A38" s="2025"/>
      <c r="B38" s="678" t="s">
        <v>1059</v>
      </c>
      <c r="C38" s="678"/>
      <c r="D38" s="678"/>
      <c r="E38" s="670" t="s">
        <v>1060</v>
      </c>
      <c r="F38" s="671">
        <f>28180338979/68837292084*100</f>
        <v>40.937605367469146</v>
      </c>
      <c r="G38" s="672" t="s">
        <v>1040</v>
      </c>
      <c r="H38" s="673" t="s">
        <v>1061</v>
      </c>
      <c r="I38" s="674" t="s">
        <v>193</v>
      </c>
      <c r="J38" s="1998"/>
      <c r="K38" s="670" t="s">
        <v>1062</v>
      </c>
      <c r="L38" s="2031"/>
      <c r="M38" s="676">
        <v>0.8</v>
      </c>
    </row>
    <row r="39" spans="1:13" s="626" customFormat="1" ht="93.75" customHeight="1" x14ac:dyDescent="0.3">
      <c r="A39" s="2025"/>
      <c r="B39" s="678" t="s">
        <v>1063</v>
      </c>
      <c r="C39" s="678"/>
      <c r="D39" s="678"/>
      <c r="E39" s="675" t="s">
        <v>1064</v>
      </c>
      <c r="F39" s="680">
        <f>68837292084/229292430634*100</f>
        <v>30.021615582190375</v>
      </c>
      <c r="G39" s="672" t="s">
        <v>1040</v>
      </c>
      <c r="H39" s="673" t="s">
        <v>1065</v>
      </c>
      <c r="I39" s="681" t="s">
        <v>193</v>
      </c>
      <c r="J39" s="1998"/>
      <c r="K39" s="675" t="s">
        <v>1066</v>
      </c>
      <c r="L39" s="2031"/>
      <c r="M39" s="682">
        <v>0.75</v>
      </c>
    </row>
    <row r="40" spans="1:13" ht="51" customHeight="1" x14ac:dyDescent="0.3">
      <c r="A40" s="2025"/>
      <c r="B40" s="669" t="s">
        <v>1067</v>
      </c>
      <c r="C40" s="669"/>
      <c r="D40" s="669"/>
      <c r="E40" s="670" t="s">
        <v>1068</v>
      </c>
      <c r="F40" s="683"/>
      <c r="G40" s="672" t="s">
        <v>1040</v>
      </c>
      <c r="H40" s="673" t="s">
        <v>1069</v>
      </c>
      <c r="I40" s="2009" t="s">
        <v>193</v>
      </c>
      <c r="J40" s="1998"/>
      <c r="K40" s="1991" t="s">
        <v>1070</v>
      </c>
      <c r="L40" s="2031"/>
      <c r="M40" s="2008">
        <v>0.75</v>
      </c>
    </row>
    <row r="41" spans="1:13" s="626" customFormat="1" ht="60" customHeight="1" x14ac:dyDescent="0.3">
      <c r="A41" s="2025"/>
      <c r="B41" s="678" t="s">
        <v>1071</v>
      </c>
      <c r="C41" s="678"/>
      <c r="D41" s="678"/>
      <c r="E41" s="675" t="s">
        <v>1072</v>
      </c>
      <c r="F41" s="680">
        <f>298129722718/68837292084*100</f>
        <v>433.09333312269399</v>
      </c>
      <c r="G41" s="672" t="s">
        <v>1040</v>
      </c>
      <c r="H41" s="673" t="s">
        <v>1073</v>
      </c>
      <c r="I41" s="2009"/>
      <c r="J41" s="1998"/>
      <c r="K41" s="1991"/>
      <c r="L41" s="2031"/>
      <c r="M41" s="2008"/>
    </row>
    <row r="42" spans="1:13" ht="72.75" customHeight="1" x14ac:dyDescent="0.3">
      <c r="A42" s="2025"/>
      <c r="B42" s="678" t="s">
        <v>1074</v>
      </c>
      <c r="C42" s="678"/>
      <c r="D42" s="678"/>
      <c r="E42" s="684" t="s">
        <v>1075</v>
      </c>
      <c r="F42" s="683"/>
      <c r="G42" s="672" t="s">
        <v>1047</v>
      </c>
      <c r="H42" s="673" t="s">
        <v>1076</v>
      </c>
      <c r="I42" s="1988" t="s">
        <v>195</v>
      </c>
      <c r="J42" s="2033" t="s">
        <v>1077</v>
      </c>
      <c r="K42" s="2021" t="s">
        <v>1078</v>
      </c>
      <c r="L42" s="2031"/>
      <c r="M42" s="2037">
        <v>0.75</v>
      </c>
    </row>
    <row r="43" spans="1:13" ht="88.5" customHeight="1" x14ac:dyDescent="0.3">
      <c r="A43" s="2025"/>
      <c r="B43" s="678" t="s">
        <v>1079</v>
      </c>
      <c r="C43" s="678"/>
      <c r="D43" s="678"/>
      <c r="E43" s="675" t="s">
        <v>1080</v>
      </c>
      <c r="F43" s="685"/>
      <c r="G43" s="684" t="s">
        <v>1040</v>
      </c>
      <c r="H43" s="673" t="s">
        <v>1081</v>
      </c>
      <c r="I43" s="1989"/>
      <c r="J43" s="2034"/>
      <c r="K43" s="2031"/>
      <c r="L43" s="2031"/>
      <c r="M43" s="2038"/>
    </row>
    <row r="44" spans="1:13" s="626" customFormat="1" ht="88.5" customHeight="1" x14ac:dyDescent="0.3">
      <c r="A44" s="2025"/>
      <c r="B44" s="678" t="s">
        <v>1082</v>
      </c>
      <c r="C44" s="678"/>
      <c r="D44" s="678"/>
      <c r="E44" s="675" t="s">
        <v>1083</v>
      </c>
      <c r="F44" s="686"/>
      <c r="G44" s="672" t="s">
        <v>1040</v>
      </c>
      <c r="H44" s="673" t="s">
        <v>1084</v>
      </c>
      <c r="I44" s="1990"/>
      <c r="J44" s="2034"/>
      <c r="K44" s="2036"/>
      <c r="L44" s="2031"/>
      <c r="M44" s="2039"/>
    </row>
    <row r="45" spans="1:13" ht="63" customHeight="1" x14ac:dyDescent="0.3">
      <c r="A45" s="2025"/>
      <c r="B45" s="678" t="s">
        <v>1085</v>
      </c>
      <c r="C45" s="678"/>
      <c r="D45" s="678"/>
      <c r="E45" s="684" t="s">
        <v>1086</v>
      </c>
      <c r="F45" s="687"/>
      <c r="G45" s="684" t="s">
        <v>1040</v>
      </c>
      <c r="H45" s="673" t="s">
        <v>1087</v>
      </c>
      <c r="I45" s="2009" t="s">
        <v>195</v>
      </c>
      <c r="J45" s="2034"/>
      <c r="K45" s="1991" t="s">
        <v>1088</v>
      </c>
      <c r="L45" s="2031"/>
      <c r="M45" s="2008">
        <v>0.7</v>
      </c>
    </row>
    <row r="46" spans="1:13" ht="63" customHeight="1" x14ac:dyDescent="0.3">
      <c r="A46" s="2025"/>
      <c r="B46" s="678" t="s">
        <v>1089</v>
      </c>
      <c r="C46" s="678"/>
      <c r="D46" s="678"/>
      <c r="E46" s="675" t="s">
        <v>1090</v>
      </c>
      <c r="F46" s="685"/>
      <c r="G46" s="684" t="s">
        <v>1047</v>
      </c>
      <c r="H46" s="673" t="s">
        <v>1091</v>
      </c>
      <c r="I46" s="2009"/>
      <c r="J46" s="2034"/>
      <c r="K46" s="1991"/>
      <c r="L46" s="2031"/>
      <c r="M46" s="2008"/>
    </row>
    <row r="47" spans="1:13" ht="69.75" customHeight="1" x14ac:dyDescent="0.3">
      <c r="A47" s="2025"/>
      <c r="B47" s="678" t="s">
        <v>1092</v>
      </c>
      <c r="C47" s="678"/>
      <c r="D47" s="678"/>
      <c r="E47" s="675" t="s">
        <v>1093</v>
      </c>
      <c r="F47" s="685"/>
      <c r="G47" s="684" t="s">
        <v>1040</v>
      </c>
      <c r="H47" s="673" t="s">
        <v>1094</v>
      </c>
      <c r="I47" s="2009"/>
      <c r="J47" s="2034"/>
      <c r="K47" s="1991"/>
      <c r="L47" s="2031"/>
      <c r="M47" s="2008"/>
    </row>
    <row r="48" spans="1:13" ht="83.25" customHeight="1" x14ac:dyDescent="0.3">
      <c r="A48" s="2025"/>
      <c r="B48" s="681" t="s">
        <v>1095</v>
      </c>
      <c r="C48" s="681"/>
      <c r="D48" s="681"/>
      <c r="E48" s="684" t="s">
        <v>1096</v>
      </c>
      <c r="F48" s="688"/>
      <c r="G48" s="674" t="s">
        <v>1040</v>
      </c>
      <c r="H48" s="673" t="s">
        <v>1097</v>
      </c>
      <c r="I48" s="674" t="s">
        <v>195</v>
      </c>
      <c r="J48" s="2035"/>
      <c r="K48" s="684" t="s">
        <v>1098</v>
      </c>
      <c r="L48" s="2031"/>
      <c r="M48" s="676">
        <v>0.85</v>
      </c>
    </row>
    <row r="49" spans="1:13" ht="83.25" customHeight="1" x14ac:dyDescent="0.3">
      <c r="A49" s="2025"/>
      <c r="B49" s="678" t="s">
        <v>1099</v>
      </c>
      <c r="C49" s="678"/>
      <c r="D49" s="678"/>
      <c r="E49" s="675" t="s">
        <v>1100</v>
      </c>
      <c r="F49" s="683"/>
      <c r="G49" s="672" t="s">
        <v>1040</v>
      </c>
      <c r="H49" s="673" t="s">
        <v>1101</v>
      </c>
      <c r="I49" s="2009" t="s">
        <v>195</v>
      </c>
      <c r="J49" s="1998" t="s">
        <v>1102</v>
      </c>
      <c r="K49" s="1991" t="s">
        <v>1103</v>
      </c>
      <c r="L49" s="2031"/>
      <c r="M49" s="2008">
        <v>0.8</v>
      </c>
    </row>
    <row r="50" spans="1:13" ht="67.5" customHeight="1" x14ac:dyDescent="0.3">
      <c r="A50" s="2025"/>
      <c r="B50" s="678" t="s">
        <v>1104</v>
      </c>
      <c r="C50" s="678"/>
      <c r="D50" s="678"/>
      <c r="E50" s="675" t="s">
        <v>1105</v>
      </c>
      <c r="F50" s="683"/>
      <c r="G50" s="672" t="s">
        <v>1040</v>
      </c>
      <c r="H50" s="673" t="s">
        <v>1106</v>
      </c>
      <c r="I50" s="2009"/>
      <c r="J50" s="1998"/>
      <c r="K50" s="1991"/>
      <c r="L50" s="2031"/>
      <c r="M50" s="2008"/>
    </row>
    <row r="51" spans="1:13" ht="87.75" customHeight="1" x14ac:dyDescent="0.3">
      <c r="A51" s="2025"/>
      <c r="B51" s="678" t="s">
        <v>1107</v>
      </c>
      <c r="C51" s="678"/>
      <c r="D51" s="678"/>
      <c r="E51" s="675" t="s">
        <v>1108</v>
      </c>
      <c r="F51" s="683"/>
      <c r="G51" s="672" t="s">
        <v>1040</v>
      </c>
      <c r="H51" s="673" t="s">
        <v>1109</v>
      </c>
      <c r="I51" s="674" t="s">
        <v>195</v>
      </c>
      <c r="J51" s="1998"/>
      <c r="K51" s="670" t="s">
        <v>1110</v>
      </c>
      <c r="L51" s="2031"/>
      <c r="M51" s="676">
        <v>0.8</v>
      </c>
    </row>
    <row r="52" spans="1:13" ht="87.75" customHeight="1" x14ac:dyDescent="0.3">
      <c r="A52" s="2025"/>
      <c r="B52" s="689"/>
      <c r="C52" s="689"/>
      <c r="D52" s="689"/>
      <c r="E52" s="690"/>
      <c r="F52" s="691"/>
      <c r="G52" s="692"/>
      <c r="H52" s="693"/>
      <c r="I52" s="694" t="s">
        <v>193</v>
      </c>
      <c r="J52" s="1998" t="s">
        <v>1111</v>
      </c>
      <c r="K52" s="695"/>
      <c r="L52" s="2031"/>
      <c r="M52" s="676">
        <v>0.8</v>
      </c>
    </row>
    <row r="53" spans="1:13" ht="87.75" customHeight="1" x14ac:dyDescent="0.3">
      <c r="A53" s="2025"/>
      <c r="B53" s="689"/>
      <c r="C53" s="689"/>
      <c r="D53" s="689"/>
      <c r="E53" s="690"/>
      <c r="F53" s="691"/>
      <c r="G53" s="692"/>
      <c r="H53" s="693"/>
      <c r="I53" s="694" t="s">
        <v>195</v>
      </c>
      <c r="J53" s="1998"/>
      <c r="K53" s="695"/>
      <c r="L53" s="2031"/>
      <c r="M53" s="676">
        <v>0.8</v>
      </c>
    </row>
    <row r="54" spans="1:13" ht="87.75" customHeight="1" x14ac:dyDescent="0.3">
      <c r="A54" s="2025"/>
      <c r="B54" s="689"/>
      <c r="C54" s="689"/>
      <c r="D54" s="689"/>
      <c r="E54" s="690"/>
      <c r="F54" s="691"/>
      <c r="G54" s="692"/>
      <c r="H54" s="693"/>
      <c r="I54" s="694" t="s">
        <v>193</v>
      </c>
      <c r="J54" s="1998"/>
      <c r="K54" s="695"/>
      <c r="L54" s="2031"/>
      <c r="M54" s="676">
        <v>0.85</v>
      </c>
    </row>
    <row r="55" spans="1:13" ht="36" customHeight="1" x14ac:dyDescent="0.3">
      <c r="A55" s="2025"/>
      <c r="B55" s="2040" t="s">
        <v>1112</v>
      </c>
      <c r="C55" s="2041"/>
      <c r="D55" s="2041"/>
      <c r="E55" s="2041"/>
      <c r="F55" s="2041"/>
      <c r="G55" s="2041"/>
      <c r="H55" s="2041"/>
      <c r="I55" s="2041"/>
      <c r="J55" s="2041"/>
      <c r="K55" s="2042"/>
      <c r="L55" s="2031"/>
      <c r="M55" s="676">
        <v>0.8</v>
      </c>
    </row>
    <row r="56" spans="1:13" ht="172.5" customHeight="1" x14ac:dyDescent="0.3">
      <c r="A56" s="2025"/>
      <c r="B56" s="678" t="s">
        <v>1113</v>
      </c>
      <c r="C56" s="678"/>
      <c r="D56" s="678"/>
      <c r="E56" s="684" t="s">
        <v>1114</v>
      </c>
      <c r="F56" s="683"/>
      <c r="G56" s="672" t="s">
        <v>1040</v>
      </c>
      <c r="H56" s="696" t="s">
        <v>1115</v>
      </c>
      <c r="I56" s="697" t="s">
        <v>195</v>
      </c>
      <c r="J56" s="2043" t="s">
        <v>1112</v>
      </c>
      <c r="K56" s="698" t="s">
        <v>1116</v>
      </c>
      <c r="L56" s="2031"/>
      <c r="M56" s="676">
        <v>0.85</v>
      </c>
    </row>
    <row r="57" spans="1:13" ht="102" customHeight="1" x14ac:dyDescent="0.3">
      <c r="A57" s="2025"/>
      <c r="B57" s="678" t="s">
        <v>1117</v>
      </c>
      <c r="C57" s="678"/>
      <c r="D57" s="678"/>
      <c r="E57" s="684" t="s">
        <v>1118</v>
      </c>
      <c r="F57" s="683"/>
      <c r="G57" s="672" t="s">
        <v>1047</v>
      </c>
      <c r="H57" s="696" t="s">
        <v>1119</v>
      </c>
      <c r="I57" s="1988" t="s">
        <v>195</v>
      </c>
      <c r="J57" s="2044"/>
      <c r="K57" s="1991" t="s">
        <v>1120</v>
      </c>
      <c r="L57" s="2031"/>
      <c r="M57" s="2008">
        <v>0.9</v>
      </c>
    </row>
    <row r="58" spans="1:13" ht="63.75" customHeight="1" x14ac:dyDescent="0.3">
      <c r="A58" s="2025"/>
      <c r="B58" s="678" t="s">
        <v>1121</v>
      </c>
      <c r="C58" s="678"/>
      <c r="D58" s="678"/>
      <c r="E58" s="684" t="s">
        <v>1122</v>
      </c>
      <c r="F58" s="683"/>
      <c r="G58" s="672" t="s">
        <v>1047</v>
      </c>
      <c r="H58" s="696" t="s">
        <v>1123</v>
      </c>
      <c r="I58" s="1989"/>
      <c r="J58" s="2044"/>
      <c r="K58" s="1991"/>
      <c r="L58" s="2031"/>
      <c r="M58" s="2008"/>
    </row>
    <row r="59" spans="1:13" ht="79.5" customHeight="1" x14ac:dyDescent="0.3">
      <c r="A59" s="2025"/>
      <c r="B59" s="678" t="s">
        <v>1124</v>
      </c>
      <c r="C59" s="678"/>
      <c r="D59" s="678"/>
      <c r="E59" s="684" t="s">
        <v>1125</v>
      </c>
      <c r="F59" s="683"/>
      <c r="G59" s="672" t="s">
        <v>1047</v>
      </c>
      <c r="H59" s="696" t="s">
        <v>1126</v>
      </c>
      <c r="I59" s="1989"/>
      <c r="J59" s="2044"/>
      <c r="K59" s="1991"/>
      <c r="L59" s="2031"/>
      <c r="M59" s="2008"/>
    </row>
    <row r="60" spans="1:13" ht="93.75" customHeight="1" x14ac:dyDescent="0.3">
      <c r="A60" s="2025"/>
      <c r="B60" s="678" t="s">
        <v>1127</v>
      </c>
      <c r="C60" s="678"/>
      <c r="D60" s="678"/>
      <c r="E60" s="684" t="s">
        <v>1128</v>
      </c>
      <c r="F60" s="683"/>
      <c r="G60" s="672" t="s">
        <v>1047</v>
      </c>
      <c r="H60" s="696" t="s">
        <v>1129</v>
      </c>
      <c r="I60" s="1990"/>
      <c r="J60" s="2044"/>
      <c r="K60" s="1991"/>
      <c r="L60" s="2031"/>
      <c r="M60" s="2008"/>
    </row>
    <row r="61" spans="1:13" ht="90.75" customHeight="1" x14ac:dyDescent="0.3">
      <c r="A61" s="2025"/>
      <c r="B61" s="678" t="s">
        <v>1130</v>
      </c>
      <c r="C61" s="678"/>
      <c r="D61" s="678"/>
      <c r="E61" s="684" t="s">
        <v>1131</v>
      </c>
      <c r="F61" s="683"/>
      <c r="G61" s="684" t="s">
        <v>1047</v>
      </c>
      <c r="H61" s="696" t="s">
        <v>1132</v>
      </c>
      <c r="I61" s="1988" t="s">
        <v>195</v>
      </c>
      <c r="J61" s="2044"/>
      <c r="K61" s="1991" t="s">
        <v>1133</v>
      </c>
      <c r="L61" s="2031"/>
      <c r="M61" s="2008">
        <v>0.9</v>
      </c>
    </row>
    <row r="62" spans="1:13" ht="65.25" customHeight="1" x14ac:dyDescent="0.3">
      <c r="A62" s="2025"/>
      <c r="B62" s="678" t="s">
        <v>1134</v>
      </c>
      <c r="C62" s="678"/>
      <c r="D62" s="678"/>
      <c r="E62" s="684" t="s">
        <v>1135</v>
      </c>
      <c r="F62" s="683"/>
      <c r="G62" s="684" t="s">
        <v>1040</v>
      </c>
      <c r="H62" s="696" t="s">
        <v>1136</v>
      </c>
      <c r="I62" s="1990"/>
      <c r="J62" s="2044"/>
      <c r="K62" s="1991"/>
      <c r="L62" s="2031"/>
      <c r="M62" s="2008"/>
    </row>
    <row r="63" spans="1:13" s="626" customFormat="1" ht="119.25" customHeight="1" thickBot="1" x14ac:dyDescent="0.35">
      <c r="A63" s="2026"/>
      <c r="B63" s="699" t="s">
        <v>1137</v>
      </c>
      <c r="C63" s="699"/>
      <c r="D63" s="699"/>
      <c r="E63" s="700" t="s">
        <v>1138</v>
      </c>
      <c r="F63" s="701"/>
      <c r="G63" s="702" t="s">
        <v>1040</v>
      </c>
      <c r="H63" s="703" t="s">
        <v>1139</v>
      </c>
      <c r="I63" s="704" t="s">
        <v>195</v>
      </c>
      <c r="J63" s="2045"/>
      <c r="K63" s="705" t="s">
        <v>1140</v>
      </c>
      <c r="L63" s="2032"/>
      <c r="M63" s="706">
        <v>0.78</v>
      </c>
    </row>
    <row r="64" spans="1:13" ht="42.75" customHeight="1" thickBot="1" x14ac:dyDescent="0.35">
      <c r="A64" s="2010" t="s">
        <v>1141</v>
      </c>
      <c r="B64" s="2011"/>
      <c r="C64" s="2011"/>
      <c r="D64" s="2011"/>
      <c r="E64" s="2011"/>
      <c r="F64" s="2011"/>
      <c r="G64" s="2011"/>
      <c r="H64" s="2011"/>
      <c r="I64" s="2011"/>
      <c r="J64" s="2011"/>
      <c r="K64" s="2011"/>
      <c r="L64" s="2011"/>
      <c r="M64" s="2012"/>
    </row>
    <row r="65" spans="1:13" ht="33.75" customHeight="1" x14ac:dyDescent="0.3">
      <c r="A65" s="2004" t="s">
        <v>1142</v>
      </c>
      <c r="B65" s="2005" t="s">
        <v>1143</v>
      </c>
      <c r="C65" s="2005"/>
      <c r="D65" s="2005"/>
      <c r="E65" s="2005"/>
      <c r="F65" s="2005"/>
      <c r="G65" s="2005"/>
      <c r="H65" s="2005"/>
      <c r="I65" s="2013" t="s">
        <v>193</v>
      </c>
      <c r="J65" s="2006" t="s">
        <v>1144</v>
      </c>
      <c r="K65" s="2015"/>
      <c r="L65" s="2007" t="s">
        <v>1145</v>
      </c>
      <c r="M65" s="2018">
        <v>0.8</v>
      </c>
    </row>
    <row r="66" spans="1:13" ht="43.5" customHeight="1" x14ac:dyDescent="0.3">
      <c r="A66" s="1995"/>
      <c r="B66" s="1969" t="s">
        <v>1146</v>
      </c>
      <c r="C66" s="1969"/>
      <c r="D66" s="1969"/>
      <c r="E66" s="1969"/>
      <c r="F66" s="1969"/>
      <c r="G66" s="1969"/>
      <c r="H66" s="1969"/>
      <c r="I66" s="1989"/>
      <c r="J66" s="1999"/>
      <c r="K66" s="2016"/>
      <c r="L66" s="1991"/>
      <c r="M66" s="1993"/>
    </row>
    <row r="67" spans="1:13" ht="30.75" customHeight="1" x14ac:dyDescent="0.3">
      <c r="A67" s="1995"/>
      <c r="B67" s="1969" t="s">
        <v>1147</v>
      </c>
      <c r="C67" s="1969"/>
      <c r="D67" s="1969"/>
      <c r="E67" s="1969"/>
      <c r="F67" s="1969"/>
      <c r="G67" s="1969"/>
      <c r="H67" s="1969"/>
      <c r="I67" s="1990"/>
      <c r="J67" s="1999"/>
      <c r="K67" s="2016"/>
      <c r="L67" s="1991"/>
      <c r="M67" s="1994"/>
    </row>
    <row r="68" spans="1:13" ht="39" customHeight="1" x14ac:dyDescent="0.3">
      <c r="A68" s="1995"/>
      <c r="B68" s="1969" t="s">
        <v>1148</v>
      </c>
      <c r="C68" s="1969"/>
      <c r="D68" s="1969"/>
      <c r="E68" s="1969"/>
      <c r="F68" s="1969"/>
      <c r="G68" s="1969"/>
      <c r="H68" s="1969"/>
      <c r="I68" s="1988" t="s">
        <v>193</v>
      </c>
      <c r="J68" s="1999"/>
      <c r="K68" s="2016"/>
      <c r="L68" s="1991" t="s">
        <v>1149</v>
      </c>
      <c r="M68" s="1992">
        <v>0.85</v>
      </c>
    </row>
    <row r="69" spans="1:13" ht="27.75" customHeight="1" x14ac:dyDescent="0.3">
      <c r="A69" s="1995"/>
      <c r="B69" s="1969" t="s">
        <v>1150</v>
      </c>
      <c r="C69" s="1969"/>
      <c r="D69" s="1969"/>
      <c r="E69" s="1969"/>
      <c r="F69" s="1969"/>
      <c r="G69" s="1969"/>
      <c r="H69" s="1969"/>
      <c r="I69" s="1989"/>
      <c r="J69" s="1999"/>
      <c r="K69" s="2016"/>
      <c r="L69" s="1991"/>
      <c r="M69" s="1993"/>
    </row>
    <row r="70" spans="1:13" ht="34.5" customHeight="1" x14ac:dyDescent="0.3">
      <c r="A70" s="1995"/>
      <c r="B70" s="1969" t="s">
        <v>1151</v>
      </c>
      <c r="C70" s="1969"/>
      <c r="D70" s="1969"/>
      <c r="E70" s="1969"/>
      <c r="F70" s="1969"/>
      <c r="G70" s="1969"/>
      <c r="H70" s="1969"/>
      <c r="I70" s="1989"/>
      <c r="J70" s="1999"/>
      <c r="K70" s="2016"/>
      <c r="L70" s="1991"/>
      <c r="M70" s="1993"/>
    </row>
    <row r="71" spans="1:13" ht="41.25" customHeight="1" x14ac:dyDescent="0.3">
      <c r="A71" s="1995"/>
      <c r="B71" s="1969" t="s">
        <v>1152</v>
      </c>
      <c r="C71" s="1969"/>
      <c r="D71" s="1969"/>
      <c r="E71" s="1969"/>
      <c r="F71" s="1969"/>
      <c r="G71" s="1969"/>
      <c r="H71" s="1969"/>
      <c r="I71" s="1990"/>
      <c r="J71" s="1999"/>
      <c r="K71" s="2016"/>
      <c r="L71" s="1991"/>
      <c r="M71" s="1994"/>
    </row>
    <row r="72" spans="1:13" ht="34.5" customHeight="1" x14ac:dyDescent="0.3">
      <c r="A72" s="1995" t="s">
        <v>1153</v>
      </c>
      <c r="B72" s="1969" t="s">
        <v>1154</v>
      </c>
      <c r="C72" s="1969"/>
      <c r="D72" s="1969"/>
      <c r="E72" s="1969"/>
      <c r="F72" s="1969"/>
      <c r="G72" s="1969"/>
      <c r="H72" s="1969"/>
      <c r="I72" s="1988" t="s">
        <v>193</v>
      </c>
      <c r="J72" s="1999"/>
      <c r="K72" s="2016"/>
      <c r="L72" s="1991" t="s">
        <v>1155</v>
      </c>
      <c r="M72" s="1992">
        <v>0.85</v>
      </c>
    </row>
    <row r="73" spans="1:13" ht="32.25" customHeight="1" x14ac:dyDescent="0.3">
      <c r="A73" s="1995"/>
      <c r="B73" s="1969" t="s">
        <v>1156</v>
      </c>
      <c r="C73" s="1969"/>
      <c r="D73" s="1969"/>
      <c r="E73" s="1969"/>
      <c r="F73" s="1969"/>
      <c r="G73" s="1969"/>
      <c r="H73" s="1969"/>
      <c r="I73" s="1989"/>
      <c r="J73" s="1999"/>
      <c r="K73" s="2016"/>
      <c r="L73" s="1991"/>
      <c r="M73" s="1993"/>
    </row>
    <row r="74" spans="1:13" ht="34.5" customHeight="1" thickBot="1" x14ac:dyDescent="0.35">
      <c r="A74" s="2019"/>
      <c r="B74" s="2023" t="s">
        <v>1157</v>
      </c>
      <c r="C74" s="2023"/>
      <c r="D74" s="2023"/>
      <c r="E74" s="2023"/>
      <c r="F74" s="2023"/>
      <c r="G74" s="2023"/>
      <c r="H74" s="2023"/>
      <c r="I74" s="2020"/>
      <c r="J74" s="2014"/>
      <c r="K74" s="2017"/>
      <c r="L74" s="2021"/>
      <c r="M74" s="2022"/>
    </row>
    <row r="75" spans="1:13" ht="48.75" customHeight="1" x14ac:dyDescent="0.3">
      <c r="A75" s="2004" t="s">
        <v>1020</v>
      </c>
      <c r="B75" s="2005" t="s">
        <v>1158</v>
      </c>
      <c r="C75" s="2005"/>
      <c r="D75" s="2005"/>
      <c r="E75" s="2005"/>
      <c r="F75" s="2005"/>
      <c r="G75" s="2005"/>
      <c r="H75" s="2005"/>
      <c r="I75" s="707" t="s">
        <v>193</v>
      </c>
      <c r="J75" s="2006" t="s">
        <v>1159</v>
      </c>
      <c r="K75" s="2007"/>
      <c r="L75" s="2007" t="s">
        <v>1160</v>
      </c>
      <c r="M75" s="708">
        <v>0.75</v>
      </c>
    </row>
    <row r="76" spans="1:13" ht="41.25" customHeight="1" x14ac:dyDescent="0.3">
      <c r="A76" s="1995"/>
      <c r="B76" s="1969" t="s">
        <v>1161</v>
      </c>
      <c r="C76" s="1969"/>
      <c r="D76" s="1969"/>
      <c r="E76" s="1969"/>
      <c r="F76" s="1969"/>
      <c r="G76" s="1969"/>
      <c r="H76" s="1969"/>
      <c r="I76" s="674" t="s">
        <v>193</v>
      </c>
      <c r="J76" s="1999"/>
      <c r="K76" s="1991"/>
      <c r="L76" s="1991"/>
      <c r="M76" s="709">
        <v>0.8</v>
      </c>
    </row>
    <row r="77" spans="1:13" ht="23.25" customHeight="1" x14ac:dyDescent="0.3">
      <c r="A77" s="1995"/>
      <c r="B77" s="1969" t="s">
        <v>1162</v>
      </c>
      <c r="C77" s="1969"/>
      <c r="D77" s="1969"/>
      <c r="E77" s="1969"/>
      <c r="F77" s="1969"/>
      <c r="G77" s="1969"/>
      <c r="H77" s="1969"/>
      <c r="I77" s="674" t="s">
        <v>193</v>
      </c>
      <c r="J77" s="1999"/>
      <c r="K77" s="1991"/>
      <c r="L77" s="1991"/>
      <c r="M77" s="709">
        <v>0.85</v>
      </c>
    </row>
    <row r="78" spans="1:13" ht="27.75" customHeight="1" x14ac:dyDescent="0.3">
      <c r="A78" s="1995"/>
      <c r="B78" s="1969" t="s">
        <v>1163</v>
      </c>
      <c r="C78" s="1969"/>
      <c r="D78" s="1969"/>
      <c r="E78" s="1969"/>
      <c r="F78" s="1969"/>
      <c r="G78" s="1969"/>
      <c r="H78" s="1969"/>
      <c r="I78" s="674" t="s">
        <v>193</v>
      </c>
      <c r="J78" s="1999"/>
      <c r="K78" s="1991"/>
      <c r="L78" s="1991"/>
      <c r="M78" s="709">
        <v>0.85</v>
      </c>
    </row>
    <row r="79" spans="1:13" ht="27" customHeight="1" x14ac:dyDescent="0.3">
      <c r="A79" s="1995"/>
      <c r="B79" s="1969" t="s">
        <v>1164</v>
      </c>
      <c r="C79" s="1969"/>
      <c r="D79" s="1969"/>
      <c r="E79" s="1969"/>
      <c r="F79" s="1969"/>
      <c r="G79" s="1969"/>
      <c r="H79" s="1969"/>
      <c r="I79" s="674" t="s">
        <v>193</v>
      </c>
      <c r="J79" s="1999"/>
      <c r="K79" s="1991"/>
      <c r="L79" s="1991"/>
      <c r="M79" s="709">
        <v>0.7</v>
      </c>
    </row>
    <row r="80" spans="1:13" ht="41.25" customHeight="1" x14ac:dyDescent="0.3">
      <c r="A80" s="1995"/>
      <c r="B80" s="1969" t="s">
        <v>1165</v>
      </c>
      <c r="C80" s="1969"/>
      <c r="D80" s="1969"/>
      <c r="E80" s="1969"/>
      <c r="F80" s="1969"/>
      <c r="G80" s="1969"/>
      <c r="H80" s="1969"/>
      <c r="I80" s="674" t="s">
        <v>193</v>
      </c>
      <c r="J80" s="1999"/>
      <c r="K80" s="1991"/>
      <c r="L80" s="1991"/>
      <c r="M80" s="709">
        <v>0.85</v>
      </c>
    </row>
    <row r="81" spans="1:13" ht="57" customHeight="1" x14ac:dyDescent="0.3">
      <c r="A81" s="1995"/>
      <c r="B81" s="1969" t="s">
        <v>1166</v>
      </c>
      <c r="C81" s="1969"/>
      <c r="D81" s="1969"/>
      <c r="E81" s="1969"/>
      <c r="F81" s="1969"/>
      <c r="G81" s="1969"/>
      <c r="H81" s="1969"/>
      <c r="I81" s="674" t="s">
        <v>195</v>
      </c>
      <c r="J81" s="1999"/>
      <c r="K81" s="1991"/>
      <c r="L81" s="1991"/>
      <c r="M81" s="709">
        <v>0.85</v>
      </c>
    </row>
    <row r="82" spans="1:13" ht="29.25" customHeight="1" x14ac:dyDescent="0.3">
      <c r="A82" s="1995" t="s">
        <v>1021</v>
      </c>
      <c r="B82" s="1997" t="s">
        <v>1167</v>
      </c>
      <c r="C82" s="1997"/>
      <c r="D82" s="1997"/>
      <c r="E82" s="1997"/>
      <c r="F82" s="1997"/>
      <c r="G82" s="1997"/>
      <c r="H82" s="1997"/>
      <c r="I82" s="674" t="s">
        <v>195</v>
      </c>
      <c r="J82" s="1998" t="s">
        <v>1168</v>
      </c>
      <c r="K82" s="2001"/>
      <c r="L82" s="1991" t="s">
        <v>1169</v>
      </c>
      <c r="M82" s="709">
        <v>0.8</v>
      </c>
    </row>
    <row r="83" spans="1:13" ht="29.25" customHeight="1" x14ac:dyDescent="0.3">
      <c r="A83" s="1995"/>
      <c r="B83" s="1997" t="s">
        <v>1170</v>
      </c>
      <c r="C83" s="1997"/>
      <c r="D83" s="1997"/>
      <c r="E83" s="1997"/>
      <c r="F83" s="1997"/>
      <c r="G83" s="1997"/>
      <c r="H83" s="1997"/>
      <c r="I83" s="674" t="s">
        <v>195</v>
      </c>
      <c r="J83" s="1998"/>
      <c r="K83" s="2001"/>
      <c r="L83" s="1991"/>
      <c r="M83" s="709">
        <v>0.8</v>
      </c>
    </row>
    <row r="84" spans="1:13" ht="36.75" customHeight="1" x14ac:dyDescent="0.3">
      <c r="A84" s="1995"/>
      <c r="B84" s="1969" t="s">
        <v>1171</v>
      </c>
      <c r="C84" s="1969"/>
      <c r="D84" s="1969"/>
      <c r="E84" s="1969"/>
      <c r="F84" s="1969"/>
      <c r="G84" s="1969"/>
      <c r="H84" s="1969"/>
      <c r="I84" s="674" t="s">
        <v>195</v>
      </c>
      <c r="J84" s="1999"/>
      <c r="K84" s="2001"/>
      <c r="L84" s="1991"/>
      <c r="M84" s="709">
        <v>0.85</v>
      </c>
    </row>
    <row r="85" spans="1:13" ht="21" customHeight="1" x14ac:dyDescent="0.3">
      <c r="A85" s="1995"/>
      <c r="B85" s="1997" t="s">
        <v>1172</v>
      </c>
      <c r="C85" s="1997"/>
      <c r="D85" s="1997"/>
      <c r="E85" s="1997"/>
      <c r="F85" s="1997"/>
      <c r="G85" s="1997"/>
      <c r="H85" s="1997"/>
      <c r="I85" s="674" t="s">
        <v>193</v>
      </c>
      <c r="J85" s="1999"/>
      <c r="K85" s="2001"/>
      <c r="L85" s="1991"/>
      <c r="M85" s="709">
        <v>0.75</v>
      </c>
    </row>
    <row r="86" spans="1:13" ht="45.75" customHeight="1" x14ac:dyDescent="0.3">
      <c r="A86" s="1995"/>
      <c r="B86" s="1969" t="s">
        <v>1173</v>
      </c>
      <c r="C86" s="1969"/>
      <c r="D86" s="1969"/>
      <c r="E86" s="1969"/>
      <c r="F86" s="1969"/>
      <c r="G86" s="1969"/>
      <c r="H86" s="1969"/>
      <c r="I86" s="674" t="s">
        <v>195</v>
      </c>
      <c r="J86" s="1999"/>
      <c r="K86" s="2001"/>
      <c r="L86" s="1991"/>
      <c r="M86" s="709">
        <v>0.85</v>
      </c>
    </row>
    <row r="87" spans="1:13" ht="36.75" customHeight="1" thickBot="1" x14ac:dyDescent="0.35">
      <c r="A87" s="1996"/>
      <c r="B87" s="1979" t="s">
        <v>1174</v>
      </c>
      <c r="C87" s="1979"/>
      <c r="D87" s="1979"/>
      <c r="E87" s="1979"/>
      <c r="F87" s="1979"/>
      <c r="G87" s="1979"/>
      <c r="H87" s="1979"/>
      <c r="I87" s="710" t="s">
        <v>195</v>
      </c>
      <c r="J87" s="2000"/>
      <c r="K87" s="2002"/>
      <c r="L87" s="2003"/>
      <c r="M87" s="711">
        <v>0.85</v>
      </c>
    </row>
    <row r="88" spans="1:13" x14ac:dyDescent="0.3">
      <c r="A88" s="712" t="s">
        <v>1175</v>
      </c>
    </row>
    <row r="89" spans="1:13" ht="15" thickBot="1" x14ac:dyDescent="0.35">
      <c r="B89" s="713"/>
      <c r="C89" s="713"/>
      <c r="D89" s="713"/>
    </row>
    <row r="90" spans="1:13" ht="42.75" customHeight="1" x14ac:dyDescent="0.3">
      <c r="A90" s="1980" t="s">
        <v>1176</v>
      </c>
      <c r="B90" s="1981"/>
      <c r="C90" s="1981"/>
      <c r="D90" s="1981"/>
      <c r="E90" s="1981"/>
      <c r="F90" s="1981"/>
      <c r="G90" s="1981"/>
      <c r="H90" s="1981"/>
      <c r="I90" s="1981"/>
      <c r="J90" s="1981"/>
      <c r="K90" s="1981"/>
      <c r="L90" s="1982"/>
    </row>
    <row r="91" spans="1:13" x14ac:dyDescent="0.3">
      <c r="A91" s="714"/>
      <c r="B91" s="388"/>
      <c r="C91" s="388"/>
      <c r="D91" s="388"/>
      <c r="E91" s="388"/>
      <c r="F91" s="388"/>
      <c r="G91" s="388"/>
      <c r="H91" s="388"/>
      <c r="I91" s="388"/>
      <c r="J91" s="271"/>
      <c r="K91" s="388"/>
      <c r="L91" s="715"/>
    </row>
    <row r="92" spans="1:13" ht="74.25" customHeight="1" x14ac:dyDescent="0.3">
      <c r="A92" s="1983" t="s">
        <v>1177</v>
      </c>
      <c r="B92" s="1984"/>
      <c r="C92" s="1984"/>
      <c r="D92" s="1984"/>
      <c r="E92" s="1984"/>
      <c r="F92" s="1984"/>
      <c r="G92" s="1984"/>
      <c r="H92" s="1984"/>
      <c r="I92" s="1984"/>
      <c r="J92" s="1984"/>
      <c r="K92" s="1984"/>
      <c r="L92" s="1985"/>
    </row>
    <row r="93" spans="1:13" x14ac:dyDescent="0.3">
      <c r="A93" s="716"/>
      <c r="B93" s="424"/>
      <c r="C93" s="424"/>
      <c r="D93" s="424"/>
      <c r="E93" s="388"/>
      <c r="F93" s="388"/>
      <c r="G93" s="388"/>
      <c r="H93" s="388"/>
      <c r="I93" s="388"/>
      <c r="J93" s="271"/>
      <c r="K93" s="388"/>
      <c r="L93" s="715"/>
    </row>
    <row r="94" spans="1:13" x14ac:dyDescent="0.3">
      <c r="A94" s="1986" t="s">
        <v>1178</v>
      </c>
      <c r="B94" s="1987"/>
      <c r="C94" s="1987"/>
      <c r="D94" s="1987"/>
      <c r="E94" s="1987"/>
      <c r="F94" s="1987"/>
      <c r="G94" s="1987"/>
      <c r="H94" s="1987"/>
      <c r="I94" s="388"/>
      <c r="J94" s="271"/>
      <c r="K94" s="388"/>
      <c r="L94" s="715"/>
    </row>
    <row r="95" spans="1:13" ht="30.75" customHeight="1" x14ac:dyDescent="0.3">
      <c r="A95" s="1973" t="s">
        <v>1179</v>
      </c>
      <c r="B95" s="1974"/>
      <c r="C95" s="1974"/>
      <c r="D95" s="1974"/>
      <c r="E95" s="1974"/>
      <c r="F95" s="1974"/>
      <c r="G95" s="1974"/>
      <c r="H95" s="1974"/>
      <c r="I95" s="388"/>
      <c r="J95" s="271"/>
      <c r="K95" s="388"/>
      <c r="L95" s="715"/>
    </row>
    <row r="96" spans="1:13" x14ac:dyDescent="0.3">
      <c r="A96" s="1971" t="s">
        <v>1180</v>
      </c>
      <c r="B96" s="1972"/>
      <c r="C96" s="1972"/>
      <c r="D96" s="1972"/>
      <c r="E96" s="1972"/>
      <c r="F96" s="1972"/>
      <c r="G96" s="1972"/>
      <c r="H96" s="1972"/>
      <c r="I96" s="388"/>
      <c r="J96" s="271"/>
      <c r="K96" s="388"/>
      <c r="L96" s="715"/>
    </row>
    <row r="97" spans="1:12" ht="18.75" customHeight="1" x14ac:dyDescent="0.3">
      <c r="A97" s="717" t="s">
        <v>1181</v>
      </c>
      <c r="B97" s="424"/>
      <c r="C97" s="424"/>
      <c r="D97" s="424"/>
      <c r="E97" s="388"/>
      <c r="F97" s="388"/>
      <c r="G97" s="388"/>
      <c r="H97" s="388"/>
      <c r="I97" s="388"/>
      <c r="J97" s="271"/>
      <c r="K97" s="388"/>
      <c r="L97" s="715"/>
    </row>
    <row r="98" spans="1:12" ht="15" customHeight="1" x14ac:dyDescent="0.3">
      <c r="A98" s="1971" t="s">
        <v>1182</v>
      </c>
      <c r="B98" s="1972"/>
      <c r="C98" s="1972"/>
      <c r="D98" s="1972"/>
      <c r="E98" s="1972"/>
      <c r="F98" s="1972"/>
      <c r="G98" s="1972"/>
      <c r="H98" s="388"/>
      <c r="I98" s="388"/>
      <c r="J98" s="271"/>
      <c r="K98" s="388"/>
      <c r="L98" s="715"/>
    </row>
    <row r="99" spans="1:12" ht="15" customHeight="1" x14ac:dyDescent="0.3">
      <c r="A99" s="1971" t="s">
        <v>1183</v>
      </c>
      <c r="B99" s="1972"/>
      <c r="C99" s="1972"/>
      <c r="D99" s="1972"/>
      <c r="E99" s="1972"/>
      <c r="F99" s="1972"/>
      <c r="G99" s="1972"/>
      <c r="H99" s="388"/>
      <c r="I99" s="388"/>
      <c r="J99" s="271"/>
      <c r="K99" s="388"/>
      <c r="L99" s="715"/>
    </row>
    <row r="100" spans="1:12" ht="39" customHeight="1" x14ac:dyDescent="0.3">
      <c r="A100" s="1973" t="s">
        <v>1184</v>
      </c>
      <c r="B100" s="1974"/>
      <c r="C100" s="1974"/>
      <c r="D100" s="1974"/>
      <c r="E100" s="1974"/>
      <c r="F100" s="1974"/>
      <c r="G100" s="1974"/>
      <c r="H100" s="388"/>
      <c r="I100" s="388"/>
      <c r="J100" s="271"/>
      <c r="K100" s="388"/>
      <c r="L100" s="715"/>
    </row>
    <row r="101" spans="1:12" ht="54.75" customHeight="1" thickBot="1" x14ac:dyDescent="0.35">
      <c r="A101" s="1975" t="s">
        <v>1185</v>
      </c>
      <c r="B101" s="1976"/>
      <c r="C101" s="1976"/>
      <c r="D101" s="1976"/>
      <c r="E101" s="1976"/>
      <c r="F101" s="1976"/>
      <c r="G101" s="1976"/>
      <c r="H101" s="1976"/>
      <c r="I101" s="1976"/>
      <c r="J101" s="1976"/>
      <c r="K101" s="1976"/>
      <c r="L101" s="1977"/>
    </row>
    <row r="102" spans="1:12" x14ac:dyDescent="0.3">
      <c r="A102" s="1970"/>
      <c r="B102" s="1970"/>
      <c r="C102" s="1970"/>
      <c r="D102" s="1970"/>
      <c r="E102" s="1970"/>
      <c r="F102" s="1970"/>
      <c r="G102" s="1970"/>
    </row>
    <row r="103" spans="1:12" ht="39" customHeight="1" x14ac:dyDescent="0.3">
      <c r="A103" s="1978"/>
      <c r="B103" s="1978"/>
      <c r="C103" s="1978"/>
      <c r="D103" s="1978"/>
      <c r="E103" s="1978"/>
      <c r="F103" s="1978"/>
      <c r="G103" s="1978"/>
    </row>
    <row r="104" spans="1:12" x14ac:dyDescent="0.3">
      <c r="A104" s="1970"/>
      <c r="B104" s="1970"/>
      <c r="C104" s="1970"/>
      <c r="D104" s="1970"/>
      <c r="E104" s="1970"/>
      <c r="F104" s="1970"/>
      <c r="G104" s="1970"/>
    </row>
    <row r="106" spans="1:12" ht="18.75" customHeight="1" x14ac:dyDescent="0.3"/>
    <row r="108" spans="1:12" x14ac:dyDescent="0.3">
      <c r="A108" s="718"/>
      <c r="B108"/>
      <c r="C108"/>
      <c r="D108"/>
    </row>
    <row r="110" spans="1:12" ht="31.5" customHeight="1" x14ac:dyDescent="0.3"/>
    <row r="115" spans="1:4" ht="27.75" customHeight="1" x14ac:dyDescent="0.3"/>
    <row r="116" spans="1:4" ht="67.5" customHeight="1" x14ac:dyDescent="0.3"/>
    <row r="120" spans="1:4" x14ac:dyDescent="0.3">
      <c r="A120"/>
      <c r="B120"/>
      <c r="C120"/>
      <c r="D120"/>
    </row>
    <row r="121" spans="1:4" x14ac:dyDescent="0.3">
      <c r="A121" s="719"/>
      <c r="B121"/>
      <c r="C121"/>
      <c r="D121"/>
    </row>
  </sheetData>
  <sheetProtection algorithmName="SHA-512" hashValue="IxJM4plQX7G6KGf2pE7d5g9e9VNFzSHAeR2LDVu2uq+JHZpN2uSNxnrzYbULMw700l1U0lm4GpktXo87s2HQPg==" saltValue="c6inR2YobwNt7dqZT9qz1A==" spinCount="100000" sheet="1" objects="1" scenarios="1"/>
  <protectedRanges>
    <protectedRange sqref="M34:M63" name="Rango3_1"/>
    <protectedRange sqref="F34:F54" name="Rango1_1"/>
    <protectedRange sqref="F56:F63" name="Rango2_1"/>
    <protectedRange sqref="M65:M87" name="Rango4_1"/>
  </protectedRanges>
  <mergeCells count="126">
    <mergeCell ref="B6:F6"/>
    <mergeCell ref="H6:J6"/>
    <mergeCell ref="B7:F7"/>
    <mergeCell ref="H7:J7"/>
    <mergeCell ref="A8:J8"/>
    <mergeCell ref="A9:J9"/>
    <mergeCell ref="E1:L1"/>
    <mergeCell ref="A2:A3"/>
    <mergeCell ref="B5:F5"/>
    <mergeCell ref="B2:H3"/>
    <mergeCell ref="I2:J2"/>
    <mergeCell ref="I3:J3"/>
    <mergeCell ref="G18:H18"/>
    <mergeCell ref="I18:J18"/>
    <mergeCell ref="A22:J22"/>
    <mergeCell ref="A23:H23"/>
    <mergeCell ref="A28:M28"/>
    <mergeCell ref="A30:A32"/>
    <mergeCell ref="B30:L30"/>
    <mergeCell ref="M30:M32"/>
    <mergeCell ref="B31:H31"/>
    <mergeCell ref="I31:I32"/>
    <mergeCell ref="J31:J32"/>
    <mergeCell ref="K31:K32"/>
    <mergeCell ref="L31:L32"/>
    <mergeCell ref="G17:H17"/>
    <mergeCell ref="G10:H10"/>
    <mergeCell ref="I10:J10"/>
    <mergeCell ref="G11:G12"/>
    <mergeCell ref="H11:H12"/>
    <mergeCell ref="I11:I12"/>
    <mergeCell ref="J11:J12"/>
    <mergeCell ref="A10:A12"/>
    <mergeCell ref="B10:B12"/>
    <mergeCell ref="C10:C12"/>
    <mergeCell ref="D10:D12"/>
    <mergeCell ref="E10:E12"/>
    <mergeCell ref="F10:F12"/>
    <mergeCell ref="A33:A63"/>
    <mergeCell ref="B33:M33"/>
    <mergeCell ref="J34:J36"/>
    <mergeCell ref="L34:L63"/>
    <mergeCell ref="I35:I36"/>
    <mergeCell ref="K35:K36"/>
    <mergeCell ref="M35:M36"/>
    <mergeCell ref="J37:J41"/>
    <mergeCell ref="I40:I41"/>
    <mergeCell ref="K40:K41"/>
    <mergeCell ref="M40:M41"/>
    <mergeCell ref="I42:I44"/>
    <mergeCell ref="J42:J48"/>
    <mergeCell ref="K42:K44"/>
    <mergeCell ref="M42:M44"/>
    <mergeCell ref="I45:I47"/>
    <mergeCell ref="K45:K47"/>
    <mergeCell ref="B55:K55"/>
    <mergeCell ref="J56:J63"/>
    <mergeCell ref="I57:I60"/>
    <mergeCell ref="K57:K60"/>
    <mergeCell ref="M57:M60"/>
    <mergeCell ref="I61:I62"/>
    <mergeCell ref="K61:K62"/>
    <mergeCell ref="M61:M62"/>
    <mergeCell ref="M45:M47"/>
    <mergeCell ref="I49:I50"/>
    <mergeCell ref="J49:J51"/>
    <mergeCell ref="K49:K50"/>
    <mergeCell ref="M49:M50"/>
    <mergeCell ref="J52:J54"/>
    <mergeCell ref="A64:M64"/>
    <mergeCell ref="A65:A71"/>
    <mergeCell ref="B65:H65"/>
    <mergeCell ref="I65:I67"/>
    <mergeCell ref="J65:J74"/>
    <mergeCell ref="K65:K74"/>
    <mergeCell ref="L65:L67"/>
    <mergeCell ref="M65:M67"/>
    <mergeCell ref="B66:H66"/>
    <mergeCell ref="B67:H67"/>
    <mergeCell ref="A72:A74"/>
    <mergeCell ref="B72:H72"/>
    <mergeCell ref="I72:I74"/>
    <mergeCell ref="L72:L74"/>
    <mergeCell ref="M72:M74"/>
    <mergeCell ref="B73:H73"/>
    <mergeCell ref="B74:H74"/>
    <mergeCell ref="B68:H68"/>
    <mergeCell ref="I68:I71"/>
    <mergeCell ref="L68:L71"/>
    <mergeCell ref="M68:M71"/>
    <mergeCell ref="B69:H69"/>
    <mergeCell ref="B70:H70"/>
    <mergeCell ref="B71:H71"/>
    <mergeCell ref="B81:H81"/>
    <mergeCell ref="A82:A87"/>
    <mergeCell ref="B82:H82"/>
    <mergeCell ref="J82:J87"/>
    <mergeCell ref="K82:K87"/>
    <mergeCell ref="L82:L87"/>
    <mergeCell ref="B83:H83"/>
    <mergeCell ref="B84:H84"/>
    <mergeCell ref="B85:H85"/>
    <mergeCell ref="B86:H86"/>
    <mergeCell ref="A75:A81"/>
    <mergeCell ref="B75:H75"/>
    <mergeCell ref="J75:J81"/>
    <mergeCell ref="K75:K81"/>
    <mergeCell ref="L75:L81"/>
    <mergeCell ref="B76:H76"/>
    <mergeCell ref="B77:H77"/>
    <mergeCell ref="B78:H78"/>
    <mergeCell ref="B79:H79"/>
    <mergeCell ref="B80:H80"/>
    <mergeCell ref="A104:G104"/>
    <mergeCell ref="A98:G98"/>
    <mergeCell ref="A99:G99"/>
    <mergeCell ref="A100:G100"/>
    <mergeCell ref="A101:L101"/>
    <mergeCell ref="A102:G102"/>
    <mergeCell ref="A103:G103"/>
    <mergeCell ref="B87:H87"/>
    <mergeCell ref="A90:L90"/>
    <mergeCell ref="A92:L92"/>
    <mergeCell ref="A94:H94"/>
    <mergeCell ref="A95:H95"/>
    <mergeCell ref="A96:H96"/>
  </mergeCells>
  <conditionalFormatting sqref="E1:L1 A1 B4:J4 A4:A6 L4:L7 G6:H7 A7:B7">
    <cfRule type="cellIs" dxfId="156" priority="18" operator="equal">
      <formula>"ERROR"</formula>
    </cfRule>
  </conditionalFormatting>
  <conditionalFormatting sqref="G1:L1 F4:J4 G6:H7">
    <cfRule type="cellIs" dxfId="155" priority="14" operator="equal">
      <formula>"INEXISTENTE"</formula>
    </cfRule>
  </conditionalFormatting>
  <conditionalFormatting sqref="G1:L1 F4:J4 L4:L7 G6:H7">
    <cfRule type="cellIs" dxfId="154" priority="15" operator="equal">
      <formula>"INADECUADO"</formula>
    </cfRule>
    <cfRule type="cellIs" dxfId="153" priority="16" operator="equal">
      <formula>"PARCIALMENTE ADECUADO"</formula>
    </cfRule>
    <cfRule type="cellIs" dxfId="152" priority="17" operator="equal">
      <formula>"ADECUADO"</formula>
    </cfRule>
  </conditionalFormatting>
  <conditionalFormatting sqref="I18">
    <cfRule type="cellIs" dxfId="151" priority="21" stopIfTrue="1" operator="lessThan">
      <formula>0.75</formula>
    </cfRule>
    <cfRule type="cellIs" dxfId="150" priority="22" stopIfTrue="1" operator="greaterThanOrEqual">
      <formula>0.75</formula>
    </cfRule>
  </conditionalFormatting>
  <conditionalFormatting sqref="I17:J17">
    <cfRule type="cellIs" dxfId="149" priority="19" stopIfTrue="1" operator="lessThan">
      <formula>0.75</formula>
    </cfRule>
    <cfRule type="cellIs" dxfId="148" priority="20" stopIfTrue="1" operator="greaterThanOrEqual">
      <formula>0.75</formula>
    </cfRule>
  </conditionalFormatting>
  <conditionalFormatting sqref="L4:L7">
    <cfRule type="cellIs" dxfId="147" priority="6" operator="equal">
      <formula>"INEXISTENTE"</formula>
    </cfRule>
  </conditionalFormatting>
  <conditionalFormatting sqref="L5:L6 H6">
    <cfRule type="cellIs" dxfId="146" priority="10" operator="equal">
      <formula>"CRÍTICO"</formula>
    </cfRule>
    <cfRule type="cellIs" dxfId="145" priority="11" operator="equal">
      <formula>"ALTO"</formula>
    </cfRule>
    <cfRule type="cellIs" dxfId="144" priority="12" operator="equal">
      <formula>"MEDIO"</formula>
    </cfRule>
    <cfRule type="cellIs" dxfId="143" priority="13" operator="equal">
      <formula>"BAJO"</formula>
    </cfRule>
  </conditionalFormatting>
  <conditionalFormatting sqref="L5:L6">
    <cfRule type="cellIs" dxfId="142" priority="7" operator="equal">
      <formula>"INEFICAZ"</formula>
    </cfRule>
    <cfRule type="cellIs" dxfId="141" priority="8" operator="equal">
      <formula>"CON DEFICIENCIAS"</formula>
    </cfRule>
    <cfRule type="cellIs" dxfId="140" priority="9" operator="equal">
      <formula>"EFICAZ"</formula>
    </cfRule>
  </conditionalFormatting>
  <conditionalFormatting sqref="A2:B2 I2:I3">
    <cfRule type="cellIs" dxfId="139" priority="5" operator="equal">
      <formula>"ERROR"</formula>
    </cfRule>
  </conditionalFormatting>
  <conditionalFormatting sqref="I2:I3">
    <cfRule type="cellIs" dxfId="138" priority="1" operator="equal">
      <formula>"INEXISTENTE"</formula>
    </cfRule>
  </conditionalFormatting>
  <conditionalFormatting sqref="I2:I3">
    <cfRule type="cellIs" dxfId="137" priority="2" operator="equal">
      <formula>"INADECUADO"</formula>
    </cfRule>
    <cfRule type="cellIs" dxfId="136" priority="3" operator="equal">
      <formula>"PARCIALMENTE ADECUADO"</formula>
    </cfRule>
    <cfRule type="cellIs" dxfId="135" priority="4" operator="equal">
      <formula>"ADECUADO"</formula>
    </cfRule>
  </conditionalFormatting>
  <dataValidations count="16">
    <dataValidation type="custom" allowBlank="1" showInputMessage="1" showErrorMessage="1" sqref="M34 M38">
      <formula1>M34:M87&lt;=100%</formula1>
    </dataValidation>
    <dataValidation type="custom" allowBlank="1" showInputMessage="1" showErrorMessage="1" sqref="M39">
      <formula1>M39:M91&lt;=100%</formula1>
    </dataValidation>
    <dataValidation type="custom" allowBlank="1" showInputMessage="1" showErrorMessage="1" sqref="M37">
      <formula1>M37:M91&lt;=100%</formula1>
    </dataValidation>
    <dataValidation type="custom" allowBlank="1" showInputMessage="1" showErrorMessage="1" sqref="M40">
      <formula1>M40:M91&lt;=100%</formula1>
    </dataValidation>
    <dataValidation type="custom" allowBlank="1" showInputMessage="1" showErrorMessage="1" sqref="M42">
      <formula1>M42:M91&lt;=100%</formula1>
    </dataValidation>
    <dataValidation type="custom" allowBlank="1" showInputMessage="1" showErrorMessage="1" sqref="M49">
      <formula1>M49:M95&lt;=100%</formula1>
    </dataValidation>
    <dataValidation type="custom" allowBlank="1" showInputMessage="1" showErrorMessage="1" sqref="M65">
      <formula1>M65:M94&lt;=100%</formula1>
    </dataValidation>
    <dataValidation type="custom" allowBlank="1" showInputMessage="1" showErrorMessage="1" sqref="M57">
      <formula1>M57:M94&lt;=100%</formula1>
    </dataValidation>
    <dataValidation type="custom" allowBlank="1" showInputMessage="1" showErrorMessage="1" sqref="M61">
      <formula1>M61:M95&lt;=100%</formula1>
    </dataValidation>
    <dataValidation type="custom" allowBlank="1" showInputMessage="1" showErrorMessage="1" sqref="M68">
      <formula1>M68:M96&lt;=100%</formula1>
    </dataValidation>
    <dataValidation type="custom" allowBlank="1" showInputMessage="1" showErrorMessage="1" sqref="M63">
      <formula1>M63:M95&lt;=100%</formula1>
    </dataValidation>
    <dataValidation type="custom" allowBlank="1" showInputMessage="1" showErrorMessage="1" sqref="M72 M75:M82">
      <formula1>M72:M99&lt;=100%</formula1>
    </dataValidation>
    <dataValidation type="custom" allowBlank="1" showInputMessage="1" showErrorMessage="1" sqref="M83">
      <formula1>M83:M109&lt;=100%</formula1>
    </dataValidation>
    <dataValidation type="custom" allowBlank="1" showInputMessage="1" showErrorMessage="1" sqref="M84:M85">
      <formula1>M84:M109&lt;=100%</formula1>
    </dataValidation>
    <dataValidation type="custom" allowBlank="1" showInputMessage="1" showErrorMessage="1" sqref="M86:M87">
      <formula1>M86:M110&lt;=100%</formula1>
    </dataValidation>
    <dataValidation type="custom" allowBlank="1" showInputMessage="1" showErrorMessage="1" sqref="M51:M54">
      <formula1>M51:M94&lt;=100%</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6"/>
  <sheetViews>
    <sheetView topLeftCell="A81" zoomScaleNormal="100" workbookViewId="0">
      <selection activeCell="B93" sqref="B93"/>
    </sheetView>
  </sheetViews>
  <sheetFormatPr baseColWidth="10" defaultColWidth="11.44140625" defaultRowHeight="13.8" x14ac:dyDescent="0.3"/>
  <cols>
    <col min="1" max="1" width="33.88671875" style="294" customWidth="1"/>
    <col min="2" max="2" width="70.109375" style="294" customWidth="1"/>
    <col min="3" max="3" width="29.5546875" style="294" customWidth="1"/>
    <col min="4" max="4" width="24.5546875" style="294" customWidth="1"/>
    <col min="5" max="5" width="28.88671875" style="294" customWidth="1"/>
    <col min="6" max="6" width="22.33203125" style="294" customWidth="1"/>
    <col min="7" max="7" width="31.5546875" style="294" customWidth="1"/>
    <col min="8" max="8" width="18" style="294" customWidth="1"/>
    <col min="9" max="9" width="33" style="294" customWidth="1"/>
    <col min="10" max="10" width="37.5546875" style="294" customWidth="1"/>
    <col min="11" max="11" width="23.6640625" style="294" customWidth="1"/>
    <col min="12" max="12" width="21.5546875" style="294" customWidth="1"/>
    <col min="13" max="13" width="33" style="294" customWidth="1"/>
    <col min="14" max="14" width="30.5546875" style="294" customWidth="1"/>
    <col min="15" max="15" width="19.6640625" style="294" customWidth="1"/>
    <col min="16" max="16" width="28" style="294" customWidth="1"/>
    <col min="17" max="17" width="19.109375" style="294" customWidth="1"/>
    <col min="18" max="18" width="15.88671875" style="294" customWidth="1"/>
    <col min="19" max="19" width="33.109375" style="294" customWidth="1"/>
    <col min="20" max="45" width="11.44140625" style="294"/>
    <col min="46" max="46" width="48.88671875" style="294" customWidth="1"/>
    <col min="47" max="16384" width="11.44140625" style="294"/>
  </cols>
  <sheetData>
    <row r="1" spans="1:19" ht="66" customHeight="1" x14ac:dyDescent="0.3">
      <c r="A1" s="2104"/>
      <c r="B1" s="1901" t="s">
        <v>1690</v>
      </c>
      <c r="C1" s="1901"/>
      <c r="D1" s="1901"/>
      <c r="E1" s="1901"/>
      <c r="F1" s="1901"/>
      <c r="G1" s="1901"/>
      <c r="H1" s="1901"/>
      <c r="I1" s="1901"/>
      <c r="J1" s="1901"/>
      <c r="K1" s="1901"/>
      <c r="L1" s="1901"/>
      <c r="M1" s="1901"/>
      <c r="N1" s="1901"/>
      <c r="O1" s="1901"/>
      <c r="P1" s="1901"/>
      <c r="Q1" s="1901"/>
      <c r="R1" s="1901"/>
      <c r="S1" s="2099" t="s">
        <v>1684</v>
      </c>
    </row>
    <row r="2" spans="1:19" ht="42.75" customHeight="1" x14ac:dyDescent="0.3">
      <c r="A2" s="2104"/>
      <c r="B2" s="1901"/>
      <c r="C2" s="1901"/>
      <c r="D2" s="1901"/>
      <c r="E2" s="1901"/>
      <c r="F2" s="1901"/>
      <c r="G2" s="1901"/>
      <c r="H2" s="1901"/>
      <c r="I2" s="1901"/>
      <c r="J2" s="1901"/>
      <c r="K2" s="1901"/>
      <c r="L2" s="1901"/>
      <c r="M2" s="1901"/>
      <c r="N2" s="1901"/>
      <c r="O2" s="1901"/>
      <c r="P2" s="1901"/>
      <c r="Q2" s="1901"/>
      <c r="R2" s="1901"/>
      <c r="S2" s="2099"/>
    </row>
    <row r="3" spans="1:19" x14ac:dyDescent="0.3">
      <c r="A3" s="1273"/>
      <c r="B3" s="1273"/>
      <c r="C3" s="1273"/>
      <c r="D3" s="1273"/>
      <c r="E3" s="1273"/>
      <c r="F3" s="1273"/>
      <c r="G3" s="1273"/>
      <c r="H3" s="303"/>
      <c r="I3" s="303"/>
      <c r="J3" s="303"/>
      <c r="K3" s="303"/>
      <c r="L3" s="303"/>
      <c r="M3" s="303"/>
      <c r="N3" s="303"/>
      <c r="O3" s="303"/>
      <c r="P3" s="303"/>
      <c r="Q3" s="303"/>
      <c r="R3" s="303"/>
      <c r="S3" s="303"/>
    </row>
    <row r="4" spans="1:19" ht="17.399999999999999" x14ac:dyDescent="0.3">
      <c r="A4" s="2101" t="s">
        <v>1638</v>
      </c>
      <c r="B4" s="2101"/>
      <c r="C4" s="2101"/>
      <c r="D4" s="2101"/>
      <c r="E4" s="2101"/>
      <c r="F4" s="2101"/>
      <c r="G4" s="2101"/>
      <c r="H4" s="720"/>
      <c r="I4" s="720"/>
      <c r="J4" s="720"/>
      <c r="K4" s="720"/>
      <c r="L4" s="720"/>
      <c r="M4" s="720"/>
      <c r="N4" s="720"/>
      <c r="O4" s="720"/>
      <c r="P4" s="720"/>
      <c r="Q4" s="720"/>
      <c r="R4" s="720"/>
      <c r="S4" s="720"/>
    </row>
    <row r="5" spans="1:19" ht="17.399999999999999" x14ac:dyDescent="0.3">
      <c r="A5" s="2101" t="s">
        <v>1615</v>
      </c>
      <c r="B5" s="2101"/>
      <c r="C5" s="2101"/>
      <c r="D5" s="2101"/>
      <c r="E5" s="2101"/>
      <c r="F5" s="2101"/>
      <c r="G5" s="2101"/>
      <c r="H5" s="720"/>
      <c r="I5" s="720"/>
      <c r="J5" s="720"/>
      <c r="K5" s="720"/>
      <c r="L5" s="720"/>
      <c r="M5" s="720"/>
      <c r="N5" s="720"/>
      <c r="O5" s="720"/>
      <c r="P5" s="720"/>
      <c r="Q5" s="720"/>
      <c r="R5" s="720"/>
      <c r="S5" s="720"/>
    </row>
    <row r="6" spans="1:19" ht="17.399999999999999" x14ac:dyDescent="0.3">
      <c r="A6" s="253"/>
      <c r="B6" s="253"/>
      <c r="C6" s="253"/>
      <c r="D6" s="253"/>
      <c r="E6" s="253"/>
      <c r="F6" s="253"/>
      <c r="G6" s="253"/>
      <c r="H6" s="253"/>
      <c r="I6" s="253"/>
      <c r="J6" s="253"/>
      <c r="K6" s="253"/>
      <c r="L6" s="253"/>
      <c r="M6" s="253"/>
      <c r="N6" s="253"/>
      <c r="O6" s="253"/>
      <c r="P6" s="253"/>
      <c r="Q6" s="253"/>
      <c r="R6" s="253"/>
      <c r="S6" s="253"/>
    </row>
    <row r="7" spans="1:19" ht="17.399999999999999" x14ac:dyDescent="0.3">
      <c r="A7" s="1268" t="s">
        <v>0</v>
      </c>
      <c r="B7" s="1745" t="str">
        <f>+FENECIMIENTO!D4</f>
        <v xml:space="preserve">80000 - DIRECCIÓN SECTOR MOVILIDAD </v>
      </c>
      <c r="C7" s="1745"/>
      <c r="D7" s="895"/>
      <c r="E7" s="619"/>
      <c r="F7" s="619"/>
      <c r="G7" s="619"/>
      <c r="H7" s="619"/>
      <c r="I7" s="303"/>
      <c r="J7" s="303"/>
      <c r="K7" s="303"/>
      <c r="L7" s="303"/>
      <c r="M7" s="303"/>
      <c r="N7" s="303"/>
      <c r="O7" s="303"/>
      <c r="P7" s="303"/>
      <c r="Q7" s="773"/>
      <c r="R7" s="773"/>
    </row>
    <row r="8" spans="1:19" ht="30" customHeight="1" x14ac:dyDescent="0.3">
      <c r="A8" s="1269" t="s">
        <v>1186</v>
      </c>
      <c r="B8" s="2100" t="str">
        <f>+FENECIMIENTO!D5</f>
        <v>204 - Instituto de Desarrollo Urbano – IDU</v>
      </c>
      <c r="C8" s="2083"/>
      <c r="D8" s="619"/>
      <c r="E8" s="1268" t="s">
        <v>2</v>
      </c>
      <c r="F8" s="1745">
        <f>+FENECIMIENTO!K5</f>
        <v>2024</v>
      </c>
      <c r="G8" s="1745"/>
      <c r="H8" s="620"/>
      <c r="I8" s="726"/>
      <c r="J8" s="726"/>
      <c r="K8" s="726"/>
      <c r="L8" s="726"/>
      <c r="M8" s="726"/>
      <c r="N8" s="726"/>
      <c r="O8" s="726"/>
      <c r="P8" s="726"/>
      <c r="Q8" s="896"/>
      <c r="R8" s="896"/>
    </row>
    <row r="9" spans="1:19" x14ac:dyDescent="0.3">
      <c r="A9" s="1268" t="s">
        <v>1680</v>
      </c>
      <c r="B9" s="2083">
        <f>+FENECIMIENTO!D6</f>
        <v>2025</v>
      </c>
      <c r="C9" s="2083"/>
      <c r="D9" s="619"/>
      <c r="E9" s="1268" t="s">
        <v>3</v>
      </c>
      <c r="F9" s="2083">
        <f>+FENECIMIENTO!K6</f>
        <v>87</v>
      </c>
      <c r="G9" s="2083"/>
      <c r="H9" s="620"/>
      <c r="I9" s="726"/>
      <c r="J9" s="726"/>
      <c r="K9" s="726"/>
      <c r="L9" s="726"/>
      <c r="M9" s="726"/>
      <c r="N9" s="726"/>
      <c r="O9" s="773"/>
      <c r="P9" s="773"/>
      <c r="Q9" s="896"/>
      <c r="R9" s="896"/>
    </row>
    <row r="10" spans="1:19" x14ac:dyDescent="0.3">
      <c r="A10" s="1268" t="s">
        <v>4</v>
      </c>
      <c r="B10" s="2084">
        <f>+FENECIMIENTO!D7</f>
        <v>45693</v>
      </c>
      <c r="C10" s="2083"/>
      <c r="D10" s="619"/>
      <c r="E10" s="1268" t="s">
        <v>1187</v>
      </c>
      <c r="F10" s="2084">
        <f>+FENECIMIENTO!K7</f>
        <v>45693</v>
      </c>
      <c r="G10" s="2083"/>
      <c r="H10" s="620"/>
      <c r="I10" s="726"/>
      <c r="J10" s="726"/>
      <c r="K10" s="726"/>
      <c r="L10" s="726"/>
      <c r="M10" s="726"/>
      <c r="N10" s="726"/>
      <c r="O10" s="726"/>
      <c r="P10" s="726"/>
      <c r="Q10" s="896"/>
      <c r="R10" s="896"/>
    </row>
    <row r="11" spans="1:19" x14ac:dyDescent="0.3">
      <c r="A11" s="1268"/>
      <c r="B11" s="1176"/>
      <c r="C11" s="619"/>
      <c r="D11" s="619"/>
      <c r="E11" s="1268"/>
      <c r="F11" s="1267"/>
      <c r="G11" s="1267"/>
      <c r="H11" s="620"/>
      <c r="I11" s="726"/>
      <c r="J11" s="726"/>
      <c r="K11" s="726"/>
      <c r="L11" s="726"/>
      <c r="M11" s="726"/>
      <c r="N11" s="726"/>
      <c r="O11" s="726"/>
      <c r="P11" s="726"/>
      <c r="Q11" s="896"/>
      <c r="R11" s="896"/>
    </row>
    <row r="12" spans="1:19" ht="14.4" thickBot="1" x14ac:dyDescent="0.35">
      <c r="A12" s="724"/>
      <c r="B12" s="721"/>
      <c r="E12" s="725"/>
      <c r="F12" s="726"/>
      <c r="G12" s="726"/>
      <c r="H12" s="620"/>
      <c r="I12" s="726"/>
      <c r="J12" s="726"/>
      <c r="K12" s="726"/>
      <c r="L12" s="726"/>
      <c r="M12" s="726"/>
      <c r="N12" s="726"/>
      <c r="O12" s="726"/>
      <c r="P12" s="726"/>
      <c r="Q12" s="896"/>
      <c r="R12" s="896"/>
    </row>
    <row r="13" spans="1:19" x14ac:dyDescent="0.3">
      <c r="A13" s="2105" t="s">
        <v>1559</v>
      </c>
      <c r="B13" s="2106"/>
      <c r="C13" s="2109" t="s">
        <v>1560</v>
      </c>
      <c r="D13" s="2109"/>
      <c r="E13" s="2109"/>
      <c r="F13" s="2109"/>
      <c r="G13" s="2109"/>
      <c r="H13" s="2109"/>
      <c r="I13" s="2109"/>
      <c r="J13" s="2111" t="s">
        <v>1561</v>
      </c>
      <c r="K13" s="2109"/>
      <c r="L13" s="2109"/>
      <c r="M13" s="2109"/>
      <c r="N13" s="2109"/>
      <c r="O13" s="2109"/>
      <c r="P13" s="2109"/>
      <c r="Q13" s="2109"/>
      <c r="R13" s="2109"/>
      <c r="S13" s="897"/>
    </row>
    <row r="14" spans="1:19" ht="14.4" thickBot="1" x14ac:dyDescent="0.35">
      <c r="A14" s="2107"/>
      <c r="B14" s="2108"/>
      <c r="C14" s="2110"/>
      <c r="D14" s="2110"/>
      <c r="E14" s="2110"/>
      <c r="F14" s="2110"/>
      <c r="G14" s="2110"/>
      <c r="H14" s="2110"/>
      <c r="I14" s="2110"/>
      <c r="J14" s="2112"/>
      <c r="K14" s="2110"/>
      <c r="L14" s="2110"/>
      <c r="M14" s="2110"/>
      <c r="N14" s="2110"/>
      <c r="O14" s="2110"/>
      <c r="P14" s="2110"/>
      <c r="Q14" s="2110"/>
      <c r="R14" s="2110"/>
      <c r="S14" s="898" t="s">
        <v>1562</v>
      </c>
    </row>
    <row r="15" spans="1:19" ht="65.25" customHeight="1" x14ac:dyDescent="0.3">
      <c r="A15" s="2113" t="s">
        <v>302</v>
      </c>
      <c r="B15" s="2102" t="s">
        <v>1563</v>
      </c>
      <c r="C15" s="2113" t="s">
        <v>1564</v>
      </c>
      <c r="D15" s="2115" t="s">
        <v>1565</v>
      </c>
      <c r="E15" s="2115" t="s">
        <v>1566</v>
      </c>
      <c r="F15" s="2115" t="s">
        <v>1567</v>
      </c>
      <c r="G15" s="2115" t="s">
        <v>1568</v>
      </c>
      <c r="H15" s="2115" t="s">
        <v>1569</v>
      </c>
      <c r="I15" s="2102" t="s">
        <v>1570</v>
      </c>
      <c r="J15" s="2113" t="s">
        <v>1571</v>
      </c>
      <c r="K15" s="2115" t="s">
        <v>1572</v>
      </c>
      <c r="L15" s="2115"/>
      <c r="M15" s="2115" t="s">
        <v>1573</v>
      </c>
      <c r="N15" s="2115" t="s">
        <v>1574</v>
      </c>
      <c r="O15" s="2117" t="s">
        <v>1575</v>
      </c>
      <c r="P15" s="2118"/>
      <c r="Q15" s="2119"/>
      <c r="R15" s="2115" t="s">
        <v>1576</v>
      </c>
      <c r="S15" s="2102" t="s">
        <v>1577</v>
      </c>
    </row>
    <row r="16" spans="1:19" ht="23.25" customHeight="1" thickBot="1" x14ac:dyDescent="0.35">
      <c r="A16" s="2114"/>
      <c r="B16" s="2103"/>
      <c r="C16" s="2114"/>
      <c r="D16" s="2116"/>
      <c r="E16" s="2116"/>
      <c r="F16" s="2116"/>
      <c r="G16" s="2116"/>
      <c r="H16" s="2116"/>
      <c r="I16" s="2103"/>
      <c r="J16" s="2114"/>
      <c r="K16" s="899" t="s">
        <v>1578</v>
      </c>
      <c r="L16" s="899" t="s">
        <v>1579</v>
      </c>
      <c r="M16" s="2116"/>
      <c r="N16" s="2116"/>
      <c r="O16" s="2120"/>
      <c r="P16" s="2121"/>
      <c r="Q16" s="2122"/>
      <c r="R16" s="2116"/>
      <c r="S16" s="2103"/>
    </row>
    <row r="17" spans="1:46" ht="16.5" customHeight="1" x14ac:dyDescent="0.3">
      <c r="A17" s="2123"/>
      <c r="B17" s="2124"/>
      <c r="C17" s="2124"/>
      <c r="D17" s="2124"/>
      <c r="E17" s="2124"/>
      <c r="F17" s="2124"/>
      <c r="G17" s="2124"/>
      <c r="H17" s="2124"/>
      <c r="I17" s="2124"/>
      <c r="J17" s="2124"/>
      <c r="K17" s="2124"/>
      <c r="L17" s="2124"/>
      <c r="M17" s="2124"/>
      <c r="N17" s="2124"/>
      <c r="O17" s="2124"/>
      <c r="P17" s="2124"/>
      <c r="Q17" s="2124"/>
      <c r="R17" s="2124"/>
      <c r="S17" s="2125"/>
    </row>
    <row r="18" spans="1:46" s="770" customFormat="1" x14ac:dyDescent="0.3">
      <c r="A18" s="900">
        <v>41</v>
      </c>
      <c r="B18" s="901" t="s">
        <v>470</v>
      </c>
      <c r="C18" s="1352">
        <v>10000000000</v>
      </c>
      <c r="D18" s="902">
        <f>IF(C18="","",C18/$C$18)</f>
        <v>1</v>
      </c>
      <c r="E18" s="1352">
        <v>12000000000</v>
      </c>
      <c r="F18" s="902">
        <f>IF(E18="","",E18/$E$18)</f>
        <v>1</v>
      </c>
      <c r="G18" s="903">
        <f>IF(AND(C18="",E18=""),"",E18-C18)</f>
        <v>2000000000</v>
      </c>
      <c r="H18" s="902">
        <f>IF(E18="",G18/C18,G18/E18)</f>
        <v>0.16666666666666666</v>
      </c>
      <c r="I18" s="1355"/>
      <c r="J18" s="1352">
        <v>12000000000</v>
      </c>
      <c r="K18" s="1352"/>
      <c r="L18" s="1352"/>
      <c r="M18" s="903">
        <f>IF(J18="","",J18-K18+L18)</f>
        <v>12000000000</v>
      </c>
      <c r="N18" s="1352">
        <v>12000000000</v>
      </c>
      <c r="O18" s="2126">
        <f>IF(OR(E18="",N18=""),"",N18/E18)</f>
        <v>1</v>
      </c>
      <c r="P18" s="2126"/>
      <c r="Q18" s="2126"/>
      <c r="R18" s="1101" t="s">
        <v>487</v>
      </c>
      <c r="S18" s="1357"/>
      <c r="AT18" s="764" t="str">
        <f t="shared" ref="AT18:AT44" si="0">CONCATENATE(A18,"-",B18)</f>
        <v>41-INGRESOS</v>
      </c>
    </row>
    <row r="19" spans="1:46" s="770" customFormat="1" x14ac:dyDescent="0.3">
      <c r="A19" s="900">
        <v>410</v>
      </c>
      <c r="B19" s="901" t="s">
        <v>1354</v>
      </c>
      <c r="C19" s="1352">
        <v>2000000</v>
      </c>
      <c r="D19" s="902">
        <f t="shared" ref="D19:D43" si="1">IF(C19="","",C19/$C$18)</f>
        <v>2.0000000000000001E-4</v>
      </c>
      <c r="E19" s="1352">
        <v>200000</v>
      </c>
      <c r="F19" s="902">
        <f t="shared" ref="F19:F43" si="2">IF(E19="","",E19/$E$18)</f>
        <v>1.6666666666666667E-5</v>
      </c>
      <c r="G19" s="903">
        <f t="shared" ref="G19:G43" si="3">IF(AND(C19="",E19=""),"",E19-C19)</f>
        <v>-1800000</v>
      </c>
      <c r="H19" s="902">
        <f t="shared" ref="H19:H43" si="4">IF(E19="",G19/C19,G19/E19)</f>
        <v>-9</v>
      </c>
      <c r="I19" s="1355"/>
      <c r="J19" s="1352">
        <v>200000</v>
      </c>
      <c r="K19" s="1352"/>
      <c r="L19" s="1352"/>
      <c r="M19" s="903">
        <f t="shared" ref="M19:M43" si="5">IF(J19="","",J19-K19+L19)</f>
        <v>200000</v>
      </c>
      <c r="N19" s="1352">
        <v>200000</v>
      </c>
      <c r="O19" s="2126">
        <f t="shared" ref="O19:O44" si="6">IF(OR(E19="",N19=""),"",N19/E19)</f>
        <v>1</v>
      </c>
      <c r="P19" s="2126"/>
      <c r="Q19" s="2126"/>
      <c r="R19" s="1101"/>
      <c r="S19" s="1357"/>
      <c r="AT19" s="764" t="str">
        <f t="shared" si="0"/>
        <v>410-DISPONIBILIDAD INICIAL</v>
      </c>
    </row>
    <row r="20" spans="1:46" x14ac:dyDescent="0.3">
      <c r="A20" s="905">
        <v>41002</v>
      </c>
      <c r="B20" s="317" t="s">
        <v>1358</v>
      </c>
      <c r="C20" s="1353">
        <v>3000000</v>
      </c>
      <c r="D20" s="906">
        <f t="shared" si="1"/>
        <v>2.9999999999999997E-4</v>
      </c>
      <c r="E20" s="1353">
        <v>5000000</v>
      </c>
      <c r="F20" s="906">
        <f t="shared" si="2"/>
        <v>4.1666666666666669E-4</v>
      </c>
      <c r="G20" s="907">
        <f t="shared" si="3"/>
        <v>2000000</v>
      </c>
      <c r="H20" s="906">
        <f t="shared" si="4"/>
        <v>0.4</v>
      </c>
      <c r="I20" s="1356"/>
      <c r="J20" s="1353">
        <v>5000000</v>
      </c>
      <c r="K20" s="1353"/>
      <c r="L20" s="1353"/>
      <c r="M20" s="907">
        <f t="shared" si="5"/>
        <v>5000000</v>
      </c>
      <c r="N20" s="1353">
        <v>5000000</v>
      </c>
      <c r="O20" s="2127">
        <f t="shared" si="6"/>
        <v>1</v>
      </c>
      <c r="P20" s="2127"/>
      <c r="Q20" s="2127"/>
      <c r="R20" s="1101"/>
      <c r="S20" s="1358"/>
      <c r="AT20" s="296" t="str">
        <f t="shared" si="0"/>
        <v>41002-Bancos</v>
      </c>
    </row>
    <row r="21" spans="1:46" x14ac:dyDescent="0.3">
      <c r="A21" s="905">
        <v>41003</v>
      </c>
      <c r="B21" s="317" t="s">
        <v>1362</v>
      </c>
      <c r="C21" s="1353">
        <v>120000</v>
      </c>
      <c r="D21" s="906">
        <f t="shared" si="1"/>
        <v>1.2E-5</v>
      </c>
      <c r="E21" s="1353">
        <v>120000</v>
      </c>
      <c r="F21" s="906">
        <f t="shared" si="2"/>
        <v>1.0000000000000001E-5</v>
      </c>
      <c r="G21" s="907">
        <f t="shared" si="3"/>
        <v>0</v>
      </c>
      <c r="H21" s="906">
        <f t="shared" si="4"/>
        <v>0</v>
      </c>
      <c r="I21" s="1356"/>
      <c r="J21" s="1353">
        <v>120000</v>
      </c>
      <c r="K21" s="1353"/>
      <c r="L21" s="1353"/>
      <c r="M21" s="907">
        <f t="shared" si="5"/>
        <v>120000</v>
      </c>
      <c r="N21" s="1353">
        <v>120000</v>
      </c>
      <c r="O21" s="2127">
        <f t="shared" si="6"/>
        <v>1</v>
      </c>
      <c r="P21" s="2127"/>
      <c r="Q21" s="2127"/>
      <c r="R21" s="1101" t="s">
        <v>1640</v>
      </c>
      <c r="S21" s="1358"/>
      <c r="AT21" s="296" t="str">
        <f t="shared" si="0"/>
        <v>41003-Inversiones Temporales</v>
      </c>
    </row>
    <row r="22" spans="1:46" s="770" customFormat="1" x14ac:dyDescent="0.3">
      <c r="A22" s="900">
        <v>411</v>
      </c>
      <c r="B22" s="901" t="s">
        <v>1366</v>
      </c>
      <c r="C22" s="1352">
        <v>2000000</v>
      </c>
      <c r="D22" s="902">
        <f t="shared" si="1"/>
        <v>2.0000000000000001E-4</v>
      </c>
      <c r="E22" s="1352">
        <v>2000000</v>
      </c>
      <c r="F22" s="902">
        <f t="shared" si="2"/>
        <v>1.6666666666666666E-4</v>
      </c>
      <c r="G22" s="903">
        <f t="shared" si="3"/>
        <v>0</v>
      </c>
      <c r="H22" s="902">
        <f t="shared" si="4"/>
        <v>0</v>
      </c>
      <c r="I22" s="1355"/>
      <c r="J22" s="1352">
        <v>2000000</v>
      </c>
      <c r="K22" s="1352"/>
      <c r="L22" s="1352"/>
      <c r="M22" s="903">
        <f t="shared" si="5"/>
        <v>2000000</v>
      </c>
      <c r="N22" s="1352">
        <v>2000000</v>
      </c>
      <c r="O22" s="2126">
        <f t="shared" si="6"/>
        <v>1</v>
      </c>
      <c r="P22" s="2126"/>
      <c r="Q22" s="2126"/>
      <c r="R22" s="1101"/>
      <c r="S22" s="1357"/>
      <c r="AT22" s="764" t="str">
        <f t="shared" si="0"/>
        <v>411-INGRESOS CORRIENTES</v>
      </c>
    </row>
    <row r="23" spans="1:46" x14ac:dyDescent="0.3">
      <c r="A23" s="905">
        <v>41101</v>
      </c>
      <c r="B23" s="317" t="s">
        <v>1370</v>
      </c>
      <c r="C23" s="1353">
        <v>1200000</v>
      </c>
      <c r="D23" s="906">
        <f t="shared" si="1"/>
        <v>1.2E-4</v>
      </c>
      <c r="E23" s="1353">
        <v>12000</v>
      </c>
      <c r="F23" s="906">
        <f t="shared" si="2"/>
        <v>9.9999999999999995E-7</v>
      </c>
      <c r="G23" s="907">
        <f t="shared" si="3"/>
        <v>-1188000</v>
      </c>
      <c r="H23" s="906">
        <f t="shared" si="4"/>
        <v>-99</v>
      </c>
      <c r="I23" s="1356"/>
      <c r="J23" s="1353">
        <v>12000</v>
      </c>
      <c r="K23" s="1353"/>
      <c r="L23" s="1353"/>
      <c r="M23" s="907">
        <f t="shared" si="5"/>
        <v>12000</v>
      </c>
      <c r="N23" s="1353">
        <v>12000</v>
      </c>
      <c r="O23" s="2127">
        <f t="shared" si="6"/>
        <v>1</v>
      </c>
      <c r="P23" s="2127"/>
      <c r="Q23" s="2127"/>
      <c r="R23" s="1101"/>
      <c r="S23" s="1358"/>
      <c r="AT23" s="296" t="str">
        <f t="shared" si="0"/>
        <v>41101-Tributarios</v>
      </c>
    </row>
    <row r="24" spans="1:46" x14ac:dyDescent="0.3">
      <c r="A24" s="905">
        <v>41102</v>
      </c>
      <c r="B24" s="317" t="s">
        <v>1376</v>
      </c>
      <c r="C24" s="1353">
        <v>1200000</v>
      </c>
      <c r="D24" s="906">
        <f t="shared" si="1"/>
        <v>1.2E-4</v>
      </c>
      <c r="E24" s="1353">
        <v>12000</v>
      </c>
      <c r="F24" s="906">
        <f t="shared" si="2"/>
        <v>9.9999999999999995E-7</v>
      </c>
      <c r="G24" s="907">
        <f t="shared" si="3"/>
        <v>-1188000</v>
      </c>
      <c r="H24" s="906">
        <f t="shared" si="4"/>
        <v>-99</v>
      </c>
      <c r="I24" s="1356"/>
      <c r="J24" s="1353">
        <v>12000</v>
      </c>
      <c r="K24" s="1353"/>
      <c r="L24" s="1353"/>
      <c r="M24" s="907">
        <f t="shared" si="5"/>
        <v>12000</v>
      </c>
      <c r="N24" s="1353">
        <v>12000</v>
      </c>
      <c r="O24" s="2127">
        <f t="shared" si="6"/>
        <v>1</v>
      </c>
      <c r="P24" s="2127"/>
      <c r="Q24" s="2127"/>
      <c r="R24" s="1101"/>
      <c r="S24" s="1358"/>
      <c r="AT24" s="296" t="str">
        <f t="shared" si="0"/>
        <v>41102-No Tributarios</v>
      </c>
    </row>
    <row r="25" spans="1:46" s="770" customFormat="1" x14ac:dyDescent="0.3">
      <c r="A25" s="900">
        <v>412</v>
      </c>
      <c r="B25" s="901" t="s">
        <v>1381</v>
      </c>
      <c r="C25" s="1352">
        <v>1200000</v>
      </c>
      <c r="D25" s="902">
        <f t="shared" si="1"/>
        <v>1.2E-4</v>
      </c>
      <c r="E25" s="1352">
        <v>12000</v>
      </c>
      <c r="F25" s="902">
        <f t="shared" si="2"/>
        <v>9.9999999999999995E-7</v>
      </c>
      <c r="G25" s="903">
        <f t="shared" si="3"/>
        <v>-1188000</v>
      </c>
      <c r="H25" s="902">
        <f t="shared" si="4"/>
        <v>-99</v>
      </c>
      <c r="I25" s="1355"/>
      <c r="J25" s="1352">
        <v>12000</v>
      </c>
      <c r="K25" s="1352"/>
      <c r="L25" s="1352"/>
      <c r="M25" s="903">
        <f t="shared" si="5"/>
        <v>12000</v>
      </c>
      <c r="N25" s="1352">
        <v>12000</v>
      </c>
      <c r="O25" s="2126">
        <f t="shared" si="6"/>
        <v>1</v>
      </c>
      <c r="P25" s="2126"/>
      <c r="Q25" s="2126"/>
      <c r="R25" s="1101"/>
      <c r="S25" s="1357"/>
      <c r="AT25" s="764" t="str">
        <f t="shared" si="0"/>
        <v>412-RECURSOS DE CAPITAL</v>
      </c>
    </row>
    <row r="26" spans="1:46" x14ac:dyDescent="0.3">
      <c r="A26" s="905">
        <v>41201</v>
      </c>
      <c r="B26" s="317" t="s">
        <v>1386</v>
      </c>
      <c r="C26" s="1353">
        <v>1200000</v>
      </c>
      <c r="D26" s="906">
        <f t="shared" si="1"/>
        <v>1.2E-4</v>
      </c>
      <c r="E26" s="1353">
        <v>14000</v>
      </c>
      <c r="F26" s="906">
        <f t="shared" si="2"/>
        <v>1.1666666666666666E-6</v>
      </c>
      <c r="G26" s="907">
        <f t="shared" si="3"/>
        <v>-1186000</v>
      </c>
      <c r="H26" s="906">
        <f t="shared" si="4"/>
        <v>-84.714285714285708</v>
      </c>
      <c r="I26" s="1356"/>
      <c r="J26" s="1353">
        <v>14000</v>
      </c>
      <c r="K26" s="1353"/>
      <c r="L26" s="1353"/>
      <c r="M26" s="907">
        <f t="shared" si="5"/>
        <v>14000</v>
      </c>
      <c r="N26" s="1353">
        <v>14000</v>
      </c>
      <c r="O26" s="2127">
        <f t="shared" si="6"/>
        <v>1</v>
      </c>
      <c r="P26" s="2127"/>
      <c r="Q26" s="2127"/>
      <c r="R26" s="1101"/>
      <c r="S26" s="1358"/>
      <c r="AT26" s="296" t="str">
        <f t="shared" si="0"/>
        <v>41201-Disposición de activos</v>
      </c>
    </row>
    <row r="27" spans="1:46" x14ac:dyDescent="0.3">
      <c r="A27" s="905">
        <v>41202</v>
      </c>
      <c r="B27" s="317" t="s">
        <v>1390</v>
      </c>
      <c r="C27" s="1353">
        <v>1200000</v>
      </c>
      <c r="D27" s="906">
        <f t="shared" si="1"/>
        <v>1.2E-4</v>
      </c>
      <c r="E27" s="1353">
        <v>14000</v>
      </c>
      <c r="F27" s="906">
        <f t="shared" si="2"/>
        <v>1.1666666666666666E-6</v>
      </c>
      <c r="G27" s="907">
        <f t="shared" si="3"/>
        <v>-1186000</v>
      </c>
      <c r="H27" s="906">
        <f t="shared" si="4"/>
        <v>-84.714285714285708</v>
      </c>
      <c r="I27" s="1356"/>
      <c r="J27" s="1353">
        <v>14000</v>
      </c>
      <c r="K27" s="1353"/>
      <c r="L27" s="1353"/>
      <c r="M27" s="907">
        <f t="shared" si="5"/>
        <v>14000</v>
      </c>
      <c r="N27" s="1353">
        <v>14000</v>
      </c>
      <c r="O27" s="2127">
        <f t="shared" si="6"/>
        <v>1</v>
      </c>
      <c r="P27" s="2127"/>
      <c r="Q27" s="2127"/>
      <c r="R27" s="1101"/>
      <c r="S27" s="1358"/>
      <c r="AT27" s="296" t="str">
        <f t="shared" si="0"/>
        <v>41202-Excedentes financieros</v>
      </c>
    </row>
    <row r="28" spans="1:46" ht="13.5" customHeight="1" x14ac:dyDescent="0.3">
      <c r="A28" s="905">
        <v>41203</v>
      </c>
      <c r="B28" s="317" t="s">
        <v>1394</v>
      </c>
      <c r="C28" s="1353">
        <v>1200000</v>
      </c>
      <c r="D28" s="906">
        <f t="shared" si="1"/>
        <v>1.2E-4</v>
      </c>
      <c r="E28" s="1353">
        <v>14000</v>
      </c>
      <c r="F28" s="906">
        <f t="shared" si="2"/>
        <v>1.1666666666666666E-6</v>
      </c>
      <c r="G28" s="907">
        <f t="shared" si="3"/>
        <v>-1186000</v>
      </c>
      <c r="H28" s="906">
        <f t="shared" si="4"/>
        <v>-84.714285714285708</v>
      </c>
      <c r="I28" s="1356"/>
      <c r="J28" s="1353">
        <v>14000</v>
      </c>
      <c r="K28" s="1353"/>
      <c r="L28" s="1353"/>
      <c r="M28" s="907">
        <f t="shared" si="5"/>
        <v>14000</v>
      </c>
      <c r="N28" s="1353">
        <v>14000</v>
      </c>
      <c r="O28" s="2127">
        <f t="shared" si="6"/>
        <v>1</v>
      </c>
      <c r="P28" s="2127"/>
      <c r="Q28" s="2127"/>
      <c r="R28" s="1101"/>
      <c r="S28" s="1358"/>
      <c r="AT28" s="296" t="str">
        <f t="shared" si="0"/>
        <v>41203-Dividendos y utilidades por otras Inversiones de CAPITAL</v>
      </c>
    </row>
    <row r="29" spans="1:46" x14ac:dyDescent="0.3">
      <c r="A29" s="905">
        <v>41205</v>
      </c>
      <c r="B29" s="317" t="s">
        <v>1398</v>
      </c>
      <c r="C29" s="1353">
        <v>1200000</v>
      </c>
      <c r="D29" s="906">
        <f t="shared" si="1"/>
        <v>1.2E-4</v>
      </c>
      <c r="E29" s="1353">
        <v>14000</v>
      </c>
      <c r="F29" s="906">
        <f t="shared" si="2"/>
        <v>1.1666666666666666E-6</v>
      </c>
      <c r="G29" s="907">
        <f t="shared" si="3"/>
        <v>-1186000</v>
      </c>
      <c r="H29" s="906">
        <f t="shared" si="4"/>
        <v>-84.714285714285708</v>
      </c>
      <c r="I29" s="1356"/>
      <c r="J29" s="1353">
        <v>14000</v>
      </c>
      <c r="K29" s="1353"/>
      <c r="L29" s="1353"/>
      <c r="M29" s="907">
        <f t="shared" si="5"/>
        <v>14000</v>
      </c>
      <c r="N29" s="1353">
        <v>14000</v>
      </c>
      <c r="O29" s="2127">
        <f t="shared" si="6"/>
        <v>1</v>
      </c>
      <c r="P29" s="2127"/>
      <c r="Q29" s="2127"/>
      <c r="R29" s="1101"/>
      <c r="S29" s="1358"/>
      <c r="AT29" s="296" t="str">
        <f t="shared" si="0"/>
        <v>41205-Rendimientos financieros</v>
      </c>
    </row>
    <row r="30" spans="1:46" x14ac:dyDescent="0.3">
      <c r="A30" s="905">
        <v>41206</v>
      </c>
      <c r="B30" s="317" t="s">
        <v>1402</v>
      </c>
      <c r="C30" s="1353">
        <v>1200000</v>
      </c>
      <c r="D30" s="906">
        <f t="shared" si="1"/>
        <v>1.2E-4</v>
      </c>
      <c r="E30" s="1353">
        <v>14000</v>
      </c>
      <c r="F30" s="906">
        <f t="shared" si="2"/>
        <v>1.1666666666666666E-6</v>
      </c>
      <c r="G30" s="907">
        <f t="shared" si="3"/>
        <v>-1186000</v>
      </c>
      <c r="H30" s="906">
        <f t="shared" si="4"/>
        <v>-84.714285714285708</v>
      </c>
      <c r="I30" s="1356"/>
      <c r="J30" s="1353">
        <v>14000</v>
      </c>
      <c r="K30" s="1353"/>
      <c r="L30" s="1353"/>
      <c r="M30" s="907">
        <f t="shared" si="5"/>
        <v>14000</v>
      </c>
      <c r="N30" s="1353">
        <v>14000</v>
      </c>
      <c r="O30" s="2127">
        <f t="shared" si="6"/>
        <v>1</v>
      </c>
      <c r="P30" s="2127"/>
      <c r="Q30" s="2127"/>
      <c r="R30" s="1101"/>
      <c r="S30" s="1358"/>
      <c r="AT30" s="296" t="str">
        <f t="shared" si="0"/>
        <v>41206-RECURSOS de crédito externo</v>
      </c>
    </row>
    <row r="31" spans="1:46" x14ac:dyDescent="0.3">
      <c r="A31" s="905">
        <v>41207</v>
      </c>
      <c r="B31" s="317" t="s">
        <v>1405</v>
      </c>
      <c r="C31" s="1353">
        <v>1200000</v>
      </c>
      <c r="D31" s="906">
        <f t="shared" si="1"/>
        <v>1.2E-4</v>
      </c>
      <c r="E31" s="1353">
        <v>14000</v>
      </c>
      <c r="F31" s="906">
        <f t="shared" si="2"/>
        <v>1.1666666666666666E-6</v>
      </c>
      <c r="G31" s="907">
        <f t="shared" si="3"/>
        <v>-1186000</v>
      </c>
      <c r="H31" s="906">
        <f t="shared" si="4"/>
        <v>-84.714285714285708</v>
      </c>
      <c r="I31" s="1356"/>
      <c r="J31" s="1353">
        <v>14000</v>
      </c>
      <c r="K31" s="1353"/>
      <c r="L31" s="1353"/>
      <c r="M31" s="907">
        <f t="shared" si="5"/>
        <v>14000</v>
      </c>
      <c r="N31" s="1353">
        <v>14000</v>
      </c>
      <c r="O31" s="2127">
        <f t="shared" si="6"/>
        <v>1</v>
      </c>
      <c r="P31" s="2127"/>
      <c r="Q31" s="2127"/>
      <c r="R31" s="1101"/>
      <c r="S31" s="1358"/>
      <c r="AT31" s="296" t="str">
        <f t="shared" si="0"/>
        <v>41207-RECURSOS de crédito interno</v>
      </c>
    </row>
    <row r="32" spans="1:46" x14ac:dyDescent="0.3">
      <c r="A32" s="905">
        <v>41208</v>
      </c>
      <c r="B32" s="317" t="s">
        <v>1409</v>
      </c>
      <c r="C32" s="1353">
        <v>1200000</v>
      </c>
      <c r="D32" s="906">
        <f t="shared" si="1"/>
        <v>1.2E-4</v>
      </c>
      <c r="E32" s="1353">
        <v>14000</v>
      </c>
      <c r="F32" s="906">
        <f t="shared" si="2"/>
        <v>1.1666666666666666E-6</v>
      </c>
      <c r="G32" s="907">
        <f t="shared" si="3"/>
        <v>-1186000</v>
      </c>
      <c r="H32" s="906">
        <f t="shared" si="4"/>
        <v>-84.714285714285708</v>
      </c>
      <c r="I32" s="1356"/>
      <c r="J32" s="1353">
        <v>14000</v>
      </c>
      <c r="K32" s="1353"/>
      <c r="L32" s="1353"/>
      <c r="M32" s="907">
        <f t="shared" si="5"/>
        <v>14000</v>
      </c>
      <c r="N32" s="1353">
        <v>14000</v>
      </c>
      <c r="O32" s="2127">
        <f t="shared" si="6"/>
        <v>1</v>
      </c>
      <c r="P32" s="2127"/>
      <c r="Q32" s="2127"/>
      <c r="R32" s="1101"/>
      <c r="S32" s="1358"/>
      <c r="AT32" s="296" t="str">
        <f t="shared" si="0"/>
        <v>41208-Transferencias de CAPITAL</v>
      </c>
    </row>
    <row r="33" spans="1:46" x14ac:dyDescent="0.3">
      <c r="A33" s="905">
        <v>41209</v>
      </c>
      <c r="B33" s="317" t="s">
        <v>1413</v>
      </c>
      <c r="C33" s="1353">
        <v>1200000</v>
      </c>
      <c r="D33" s="906">
        <f t="shared" si="1"/>
        <v>1.2E-4</v>
      </c>
      <c r="E33" s="1353">
        <v>14000</v>
      </c>
      <c r="F33" s="906">
        <f t="shared" si="2"/>
        <v>1.1666666666666666E-6</v>
      </c>
      <c r="G33" s="907">
        <f t="shared" si="3"/>
        <v>-1186000</v>
      </c>
      <c r="H33" s="906">
        <f t="shared" si="4"/>
        <v>-84.714285714285708</v>
      </c>
      <c r="I33" s="1356"/>
      <c r="J33" s="1353">
        <v>14000</v>
      </c>
      <c r="K33" s="1353"/>
      <c r="L33" s="1353"/>
      <c r="M33" s="907">
        <f t="shared" si="5"/>
        <v>14000</v>
      </c>
      <c r="N33" s="1353">
        <v>14000</v>
      </c>
      <c r="O33" s="2127">
        <f t="shared" si="6"/>
        <v>1</v>
      </c>
      <c r="P33" s="2127"/>
      <c r="Q33" s="2127"/>
      <c r="R33" s="1101"/>
      <c r="S33" s="1358"/>
      <c r="AT33" s="296" t="str">
        <f t="shared" si="0"/>
        <v>41209-Recuperación de cartera</v>
      </c>
    </row>
    <row r="34" spans="1:46" x14ac:dyDescent="0.3">
      <c r="A34" s="905">
        <v>41210</v>
      </c>
      <c r="B34" s="317" t="s">
        <v>1417</v>
      </c>
      <c r="C34" s="1353">
        <v>1200000</v>
      </c>
      <c r="D34" s="906">
        <f t="shared" si="1"/>
        <v>1.2E-4</v>
      </c>
      <c r="E34" s="1353">
        <v>14000</v>
      </c>
      <c r="F34" s="906">
        <f t="shared" si="2"/>
        <v>1.1666666666666666E-6</v>
      </c>
      <c r="G34" s="907">
        <f t="shared" si="3"/>
        <v>-1186000</v>
      </c>
      <c r="H34" s="906">
        <f t="shared" si="4"/>
        <v>-84.714285714285708</v>
      </c>
      <c r="I34" s="1356"/>
      <c r="J34" s="1353">
        <v>14000</v>
      </c>
      <c r="K34" s="1353"/>
      <c r="L34" s="1353"/>
      <c r="M34" s="907">
        <f t="shared" si="5"/>
        <v>14000</v>
      </c>
      <c r="N34" s="1353">
        <v>14000</v>
      </c>
      <c r="O34" s="2127">
        <f t="shared" si="6"/>
        <v>1</v>
      </c>
      <c r="P34" s="2127"/>
      <c r="Q34" s="2127"/>
      <c r="R34" s="1101"/>
      <c r="S34" s="1358"/>
      <c r="AT34" s="296" t="str">
        <f t="shared" si="0"/>
        <v>41210-RECURSOS del balance</v>
      </c>
    </row>
    <row r="35" spans="1:46" x14ac:dyDescent="0.3">
      <c r="A35" s="905">
        <v>41211</v>
      </c>
      <c r="B35" s="317" t="s">
        <v>1421</v>
      </c>
      <c r="C35" s="1353">
        <v>1200000</v>
      </c>
      <c r="D35" s="906">
        <f t="shared" si="1"/>
        <v>1.2E-4</v>
      </c>
      <c r="E35" s="1353">
        <v>14000</v>
      </c>
      <c r="F35" s="906">
        <f t="shared" si="2"/>
        <v>1.1666666666666666E-6</v>
      </c>
      <c r="G35" s="907">
        <f t="shared" si="3"/>
        <v>-1186000</v>
      </c>
      <c r="H35" s="906">
        <f t="shared" si="4"/>
        <v>-84.714285714285708</v>
      </c>
      <c r="I35" s="1356"/>
      <c r="J35" s="1353">
        <v>14000</v>
      </c>
      <c r="K35" s="1353"/>
      <c r="L35" s="1353"/>
      <c r="M35" s="907">
        <f t="shared" si="5"/>
        <v>14000</v>
      </c>
      <c r="N35" s="1353">
        <v>14000</v>
      </c>
      <c r="O35" s="2127">
        <f t="shared" si="6"/>
        <v>1</v>
      </c>
      <c r="P35" s="2127"/>
      <c r="Q35" s="2127"/>
      <c r="R35" s="1101"/>
      <c r="S35" s="1358"/>
      <c r="AT35" s="296" t="str">
        <f t="shared" si="0"/>
        <v>41211-Diferencial cambiario</v>
      </c>
    </row>
    <row r="36" spans="1:46" x14ac:dyDescent="0.3">
      <c r="A36" s="905">
        <v>41212</v>
      </c>
      <c r="B36" s="317" t="s">
        <v>1424</v>
      </c>
      <c r="C36" s="1353">
        <v>1200000</v>
      </c>
      <c r="D36" s="906">
        <f t="shared" si="1"/>
        <v>1.2E-4</v>
      </c>
      <c r="E36" s="1353">
        <v>14000</v>
      </c>
      <c r="F36" s="906">
        <f t="shared" si="2"/>
        <v>1.1666666666666666E-6</v>
      </c>
      <c r="G36" s="907">
        <f t="shared" si="3"/>
        <v>-1186000</v>
      </c>
      <c r="H36" s="906">
        <f t="shared" si="4"/>
        <v>-84.714285714285708</v>
      </c>
      <c r="I36" s="1356"/>
      <c r="J36" s="1353">
        <v>14000</v>
      </c>
      <c r="K36" s="1353"/>
      <c r="L36" s="1353"/>
      <c r="M36" s="907">
        <f t="shared" si="5"/>
        <v>14000</v>
      </c>
      <c r="N36" s="1353">
        <v>14000</v>
      </c>
      <c r="O36" s="2127">
        <f t="shared" si="6"/>
        <v>1</v>
      </c>
      <c r="P36" s="2127"/>
      <c r="Q36" s="2127"/>
      <c r="R36" s="1101"/>
      <c r="S36" s="1358"/>
      <c r="AT36" s="296" t="str">
        <f t="shared" si="0"/>
        <v>41212-Retiros FONPET</v>
      </c>
    </row>
    <row r="37" spans="1:46" ht="14.25" customHeight="1" x14ac:dyDescent="0.3">
      <c r="A37" s="905">
        <v>41213</v>
      </c>
      <c r="B37" s="317" t="s">
        <v>1426</v>
      </c>
      <c r="C37" s="1353">
        <v>1200000</v>
      </c>
      <c r="D37" s="906">
        <f t="shared" si="1"/>
        <v>1.2E-4</v>
      </c>
      <c r="E37" s="1353">
        <v>14000</v>
      </c>
      <c r="F37" s="906">
        <f t="shared" si="2"/>
        <v>1.1666666666666666E-6</v>
      </c>
      <c r="G37" s="907">
        <f t="shared" si="3"/>
        <v>-1186000</v>
      </c>
      <c r="H37" s="906">
        <f t="shared" si="4"/>
        <v>-84.714285714285708</v>
      </c>
      <c r="I37" s="1356"/>
      <c r="J37" s="1353">
        <v>14000</v>
      </c>
      <c r="K37" s="1353"/>
      <c r="L37" s="1353"/>
      <c r="M37" s="907">
        <f t="shared" si="5"/>
        <v>14000</v>
      </c>
      <c r="N37" s="1353">
        <v>14000</v>
      </c>
      <c r="O37" s="2127">
        <f t="shared" si="6"/>
        <v>1</v>
      </c>
      <c r="P37" s="2127"/>
      <c r="Q37" s="2127"/>
      <c r="R37" s="1101"/>
      <c r="S37" s="1358"/>
      <c r="AT37" s="296" t="str">
        <f t="shared" si="0"/>
        <v>41213-Reintegros y otros RECURSOS no apropiados</v>
      </c>
    </row>
    <row r="38" spans="1:46" s="770" customFormat="1" x14ac:dyDescent="0.3">
      <c r="A38" s="900">
        <v>4122</v>
      </c>
      <c r="B38" s="901" t="s">
        <v>1428</v>
      </c>
      <c r="C38" s="1352">
        <v>1200000</v>
      </c>
      <c r="D38" s="902">
        <f t="shared" si="1"/>
        <v>1.2E-4</v>
      </c>
      <c r="E38" s="1352">
        <v>14000</v>
      </c>
      <c r="F38" s="902">
        <f t="shared" si="2"/>
        <v>1.1666666666666666E-6</v>
      </c>
      <c r="G38" s="903">
        <f t="shared" si="3"/>
        <v>-1186000</v>
      </c>
      <c r="H38" s="902">
        <f t="shared" si="4"/>
        <v>-84.714285714285708</v>
      </c>
      <c r="I38" s="1355"/>
      <c r="J38" s="1352">
        <v>14000</v>
      </c>
      <c r="K38" s="1352"/>
      <c r="L38" s="1352"/>
      <c r="M38" s="903">
        <f t="shared" si="5"/>
        <v>14000</v>
      </c>
      <c r="N38" s="1352">
        <v>14000</v>
      </c>
      <c r="O38" s="2126">
        <f t="shared" si="6"/>
        <v>1</v>
      </c>
      <c r="P38" s="2126"/>
      <c r="Q38" s="2126"/>
      <c r="R38" s="1101"/>
      <c r="S38" s="1357"/>
      <c r="AT38" s="764" t="str">
        <f t="shared" si="0"/>
        <v>4122-Transferencias</v>
      </c>
    </row>
    <row r="39" spans="1:46" x14ac:dyDescent="0.3">
      <c r="A39" s="905">
        <v>412201</v>
      </c>
      <c r="B39" s="317" t="s">
        <v>1430</v>
      </c>
      <c r="C39" s="1353">
        <v>1200000</v>
      </c>
      <c r="D39" s="906">
        <f t="shared" si="1"/>
        <v>1.2E-4</v>
      </c>
      <c r="E39" s="1353">
        <v>14001</v>
      </c>
      <c r="F39" s="906">
        <f t="shared" si="2"/>
        <v>1.1667500000000001E-6</v>
      </c>
      <c r="G39" s="907">
        <f t="shared" si="3"/>
        <v>-1185999</v>
      </c>
      <c r="H39" s="906">
        <f t="shared" si="4"/>
        <v>-84.708163702592671</v>
      </c>
      <c r="I39" s="1356"/>
      <c r="J39" s="1353">
        <v>14001</v>
      </c>
      <c r="K39" s="1353"/>
      <c r="L39" s="1353"/>
      <c r="M39" s="907">
        <f t="shared" si="5"/>
        <v>14001</v>
      </c>
      <c r="N39" s="1353">
        <v>14001</v>
      </c>
      <c r="O39" s="2127">
        <f t="shared" si="6"/>
        <v>1</v>
      </c>
      <c r="P39" s="2127"/>
      <c r="Q39" s="2127"/>
      <c r="R39" s="1101"/>
      <c r="S39" s="1358"/>
      <c r="AT39" s="296" t="str">
        <f t="shared" si="0"/>
        <v>412201-Transferencias corrientes nacionales</v>
      </c>
    </row>
    <row r="40" spans="1:46" x14ac:dyDescent="0.3">
      <c r="A40" s="905">
        <v>412202</v>
      </c>
      <c r="B40" s="317" t="s">
        <v>1432</v>
      </c>
      <c r="C40" s="1353">
        <v>1200000</v>
      </c>
      <c r="D40" s="906">
        <f t="shared" si="1"/>
        <v>1.2E-4</v>
      </c>
      <c r="E40" s="1353">
        <v>14002</v>
      </c>
      <c r="F40" s="906">
        <f t="shared" si="2"/>
        <v>1.1668333333333334E-6</v>
      </c>
      <c r="G40" s="907">
        <f t="shared" si="3"/>
        <v>-1185998</v>
      </c>
      <c r="H40" s="906">
        <f t="shared" si="4"/>
        <v>-84.70204256534781</v>
      </c>
      <c r="I40" s="1356"/>
      <c r="J40" s="1353">
        <v>14002</v>
      </c>
      <c r="K40" s="1353"/>
      <c r="L40" s="1353"/>
      <c r="M40" s="907">
        <f t="shared" si="5"/>
        <v>14002</v>
      </c>
      <c r="N40" s="1353">
        <v>14002</v>
      </c>
      <c r="O40" s="2127">
        <f t="shared" si="6"/>
        <v>1</v>
      </c>
      <c r="P40" s="2127"/>
      <c r="Q40" s="2127"/>
      <c r="R40" s="1101"/>
      <c r="S40" s="1358"/>
      <c r="AT40" s="296" t="str">
        <f t="shared" si="0"/>
        <v>412202-Departamentales</v>
      </c>
    </row>
    <row r="41" spans="1:46" x14ac:dyDescent="0.3">
      <c r="A41" s="905">
        <v>412203</v>
      </c>
      <c r="B41" s="317" t="s">
        <v>1434</v>
      </c>
      <c r="C41" s="1353">
        <v>1200000</v>
      </c>
      <c r="D41" s="906">
        <f t="shared" si="1"/>
        <v>1.2E-4</v>
      </c>
      <c r="E41" s="1353">
        <v>14003</v>
      </c>
      <c r="F41" s="906">
        <f t="shared" si="2"/>
        <v>1.1669166666666667E-6</v>
      </c>
      <c r="G41" s="907">
        <f t="shared" si="3"/>
        <v>-1185997</v>
      </c>
      <c r="H41" s="906">
        <f t="shared" si="4"/>
        <v>-84.695922302363783</v>
      </c>
      <c r="I41" s="1356"/>
      <c r="J41" s="1353">
        <v>14003</v>
      </c>
      <c r="K41" s="1353"/>
      <c r="L41" s="1353"/>
      <c r="M41" s="907">
        <f t="shared" si="5"/>
        <v>14003</v>
      </c>
      <c r="N41" s="1353">
        <v>14003</v>
      </c>
      <c r="O41" s="2127">
        <f t="shared" si="6"/>
        <v>1</v>
      </c>
      <c r="P41" s="2127"/>
      <c r="Q41" s="2127"/>
      <c r="R41" s="1101"/>
      <c r="S41" s="1358"/>
      <c r="AT41" s="296" t="str">
        <f t="shared" si="0"/>
        <v>412203-Distritales</v>
      </c>
    </row>
    <row r="42" spans="1:46" x14ac:dyDescent="0.3">
      <c r="A42" s="905">
        <v>412204</v>
      </c>
      <c r="B42" s="317" t="s">
        <v>1436</v>
      </c>
      <c r="C42" s="1353">
        <v>1200000</v>
      </c>
      <c r="D42" s="906">
        <f t="shared" si="1"/>
        <v>1.2E-4</v>
      </c>
      <c r="E42" s="1353">
        <v>14004</v>
      </c>
      <c r="F42" s="906">
        <f t="shared" si="2"/>
        <v>1.167E-6</v>
      </c>
      <c r="G42" s="907">
        <f t="shared" si="3"/>
        <v>-1185996</v>
      </c>
      <c r="H42" s="906">
        <f t="shared" si="4"/>
        <v>-84.689802913453306</v>
      </c>
      <c r="I42" s="1356"/>
      <c r="J42" s="1353">
        <v>14004</v>
      </c>
      <c r="K42" s="1353"/>
      <c r="L42" s="1353"/>
      <c r="M42" s="907">
        <f t="shared" si="5"/>
        <v>14004</v>
      </c>
      <c r="N42" s="1353">
        <v>14004</v>
      </c>
      <c r="O42" s="2127">
        <f t="shared" si="6"/>
        <v>1</v>
      </c>
      <c r="P42" s="2127"/>
      <c r="Q42" s="2127"/>
      <c r="R42" s="1101"/>
      <c r="S42" s="1358"/>
      <c r="AT42" s="296" t="str">
        <f t="shared" si="0"/>
        <v>412204-Otras Transferencias</v>
      </c>
    </row>
    <row r="43" spans="1:46" s="770" customFormat="1" x14ac:dyDescent="0.3">
      <c r="A43" s="900">
        <v>415</v>
      </c>
      <c r="B43" s="901" t="s">
        <v>1438</v>
      </c>
      <c r="C43" s="1352">
        <v>1200000</v>
      </c>
      <c r="D43" s="902">
        <f t="shared" si="1"/>
        <v>1.2E-4</v>
      </c>
      <c r="E43" s="1352">
        <v>14005</v>
      </c>
      <c r="F43" s="902">
        <f t="shared" si="2"/>
        <v>1.1670833333333333E-6</v>
      </c>
      <c r="G43" s="903">
        <f t="shared" si="3"/>
        <v>-1185995</v>
      </c>
      <c r="H43" s="902">
        <f t="shared" si="4"/>
        <v>-84.683684398429136</v>
      </c>
      <c r="I43" s="1355"/>
      <c r="J43" s="1352">
        <v>14005</v>
      </c>
      <c r="K43" s="1352"/>
      <c r="L43" s="1352"/>
      <c r="M43" s="903">
        <f t="shared" si="5"/>
        <v>14005</v>
      </c>
      <c r="N43" s="1352">
        <v>14005</v>
      </c>
      <c r="O43" s="2126">
        <f t="shared" si="6"/>
        <v>1</v>
      </c>
      <c r="P43" s="2126"/>
      <c r="Q43" s="2126"/>
      <c r="R43" s="1101"/>
      <c r="S43" s="1357"/>
      <c r="AT43" s="764" t="str">
        <f t="shared" si="0"/>
        <v>415-Transferencias Administración Central</v>
      </c>
    </row>
    <row r="44" spans="1:46" ht="14.4" thickBot="1" x14ac:dyDescent="0.35">
      <c r="A44" s="908"/>
      <c r="B44" s="909"/>
      <c r="C44" s="1354"/>
      <c r="D44" s="911"/>
      <c r="E44" s="1354"/>
      <c r="F44" s="911"/>
      <c r="G44" s="912"/>
      <c r="H44" s="911"/>
      <c r="I44" s="913"/>
      <c r="J44" s="910"/>
      <c r="K44" s="910"/>
      <c r="L44" s="910"/>
      <c r="M44" s="912"/>
      <c r="N44" s="910"/>
      <c r="O44" s="2128" t="str">
        <f t="shared" si="6"/>
        <v/>
      </c>
      <c r="P44" s="2129"/>
      <c r="Q44" s="2130"/>
      <c r="R44" s="1359"/>
      <c r="S44" s="1360"/>
      <c r="AT44" s="296" t="str">
        <f t="shared" si="0"/>
        <v>-</v>
      </c>
    </row>
    <row r="45" spans="1:46" x14ac:dyDescent="0.3">
      <c r="A45" s="2105" t="s">
        <v>1580</v>
      </c>
      <c r="B45" s="2106"/>
      <c r="C45" s="2109" t="s">
        <v>1560</v>
      </c>
      <c r="D45" s="2109"/>
      <c r="E45" s="2109"/>
      <c r="F45" s="2109"/>
      <c r="G45" s="2109"/>
      <c r="H45" s="2109"/>
      <c r="I45" s="2109"/>
      <c r="J45" s="2111" t="s">
        <v>1561</v>
      </c>
      <c r="K45" s="2109"/>
      <c r="L45" s="2109"/>
      <c r="M45" s="2109"/>
      <c r="N45" s="2109"/>
      <c r="O45" s="2109"/>
      <c r="P45" s="2109"/>
      <c r="Q45" s="2109"/>
      <c r="R45" s="2109"/>
      <c r="S45" s="897"/>
      <c r="AT45" s="296"/>
    </row>
    <row r="46" spans="1:46" ht="14.4" thickBot="1" x14ac:dyDescent="0.35">
      <c r="A46" s="2107"/>
      <c r="B46" s="2108"/>
      <c r="C46" s="2110"/>
      <c r="D46" s="2110"/>
      <c r="E46" s="2110"/>
      <c r="F46" s="2110"/>
      <c r="G46" s="2110"/>
      <c r="H46" s="2110"/>
      <c r="I46" s="2110"/>
      <c r="J46" s="2112"/>
      <c r="K46" s="2110"/>
      <c r="L46" s="2110"/>
      <c r="M46" s="2110"/>
      <c r="N46" s="2110"/>
      <c r="O46" s="2110"/>
      <c r="P46" s="2110"/>
      <c r="Q46" s="2110"/>
      <c r="R46" s="2110"/>
      <c r="S46" s="898" t="s">
        <v>1562</v>
      </c>
      <c r="AT46" s="296"/>
    </row>
    <row r="47" spans="1:46" ht="36.75" customHeight="1" x14ac:dyDescent="0.3">
      <c r="A47" s="2113" t="s">
        <v>302</v>
      </c>
      <c r="B47" s="2102" t="s">
        <v>1563</v>
      </c>
      <c r="C47" s="2113" t="s">
        <v>1581</v>
      </c>
      <c r="D47" s="2115" t="s">
        <v>1582</v>
      </c>
      <c r="E47" s="2115" t="s">
        <v>1583</v>
      </c>
      <c r="F47" s="2115" t="s">
        <v>1584</v>
      </c>
      <c r="G47" s="2115" t="s">
        <v>1568</v>
      </c>
      <c r="H47" s="2115" t="s">
        <v>1569</v>
      </c>
      <c r="I47" s="2102" t="s">
        <v>1570</v>
      </c>
      <c r="J47" s="2113" t="s">
        <v>1571</v>
      </c>
      <c r="K47" s="2115" t="s">
        <v>1572</v>
      </c>
      <c r="L47" s="2115"/>
      <c r="M47" s="2115" t="s">
        <v>1585</v>
      </c>
      <c r="N47" s="2115" t="s">
        <v>1586</v>
      </c>
      <c r="O47" s="2115" t="s">
        <v>1587</v>
      </c>
      <c r="P47" s="2115" t="s">
        <v>1588</v>
      </c>
      <c r="Q47" s="2115" t="s">
        <v>1589</v>
      </c>
      <c r="R47" s="2115" t="s">
        <v>1576</v>
      </c>
      <c r="S47" s="2102" t="s">
        <v>1590</v>
      </c>
      <c r="AT47" s="296"/>
    </row>
    <row r="48" spans="1:46" ht="39.75" customHeight="1" thickBot="1" x14ac:dyDescent="0.35">
      <c r="A48" s="2131"/>
      <c r="B48" s="2132"/>
      <c r="C48" s="2114"/>
      <c r="D48" s="2116"/>
      <c r="E48" s="2116"/>
      <c r="F48" s="2116"/>
      <c r="G48" s="2116"/>
      <c r="H48" s="2116"/>
      <c r="I48" s="2103"/>
      <c r="J48" s="2114"/>
      <c r="K48" s="899" t="s">
        <v>1578</v>
      </c>
      <c r="L48" s="899" t="s">
        <v>1579</v>
      </c>
      <c r="M48" s="2116"/>
      <c r="N48" s="2116"/>
      <c r="O48" s="2116"/>
      <c r="P48" s="2116"/>
      <c r="Q48" s="2116"/>
      <c r="R48" s="2133"/>
      <c r="S48" s="2103"/>
      <c r="AT48" s="296"/>
    </row>
    <row r="49" spans="1:46" s="770" customFormat="1" x14ac:dyDescent="0.3">
      <c r="A49" s="953">
        <v>42</v>
      </c>
      <c r="B49" s="794" t="s">
        <v>500</v>
      </c>
      <c r="C49" s="1361">
        <v>10000000000</v>
      </c>
      <c r="D49" s="914">
        <f>IF(C49="","",C49/$C$49)</f>
        <v>1</v>
      </c>
      <c r="E49" s="1361">
        <v>12000000000</v>
      </c>
      <c r="F49" s="914">
        <f>IF(E49="","",E49/$E$49)</f>
        <v>1</v>
      </c>
      <c r="G49" s="915">
        <f t="shared" ref="G49:G83" si="7">IF(AND(C49="",E49=""),"",E49-C49)</f>
        <v>2000000000</v>
      </c>
      <c r="H49" s="914">
        <f t="shared" ref="H49:H83" si="8">IF(E49="",G49/C49,G49/E49)</f>
        <v>0.16666666666666666</v>
      </c>
      <c r="I49" s="1362"/>
      <c r="J49" s="1361">
        <v>12000000000</v>
      </c>
      <c r="K49" s="1361"/>
      <c r="L49" s="1361"/>
      <c r="M49" s="915">
        <f t="shared" ref="M49:M83" si="9">IF(J49="","",J49-K49+L49)</f>
        <v>12000000000</v>
      </c>
      <c r="N49" s="1361">
        <v>133000000000</v>
      </c>
      <c r="O49" s="914">
        <f>IF(OR(E49="",N49=""),"",N49/E49)</f>
        <v>11.083333333333334</v>
      </c>
      <c r="P49" s="1361">
        <v>12000000000</v>
      </c>
      <c r="Q49" s="914">
        <f>IF(OR(E49="",P49=""),"",P49/E49)</f>
        <v>1</v>
      </c>
      <c r="R49" s="1283"/>
      <c r="S49" s="1364"/>
      <c r="AT49" s="764" t="str">
        <f t="shared" ref="AT49:AT82" si="10">CONCATENATE(A49,"-",B49)</f>
        <v>42-GASTOS</v>
      </c>
    </row>
    <row r="50" spans="1:46" s="770" customFormat="1" x14ac:dyDescent="0.3">
      <c r="A50" s="953">
        <v>421</v>
      </c>
      <c r="B50" s="794" t="s">
        <v>1442</v>
      </c>
      <c r="C50" s="1352">
        <v>20000000</v>
      </c>
      <c r="D50" s="902">
        <f t="shared" ref="D50:D83" si="11">IF(C50="","",C50/$C$49)</f>
        <v>2E-3</v>
      </c>
      <c r="E50" s="1352">
        <v>200000</v>
      </c>
      <c r="F50" s="902">
        <f t="shared" ref="F50:F83" si="12">IF(E50="","",E50/$E$49)</f>
        <v>1.6666666666666667E-5</v>
      </c>
      <c r="G50" s="903">
        <f t="shared" si="7"/>
        <v>-19800000</v>
      </c>
      <c r="H50" s="902">
        <f t="shared" si="8"/>
        <v>-99</v>
      </c>
      <c r="I50" s="1355"/>
      <c r="J50" s="1352">
        <v>200000</v>
      </c>
      <c r="K50" s="1352"/>
      <c r="L50" s="1352"/>
      <c r="M50" s="903">
        <f t="shared" si="9"/>
        <v>200000</v>
      </c>
      <c r="N50" s="1352">
        <v>200000</v>
      </c>
      <c r="O50" s="902">
        <f t="shared" ref="O50:O83" si="13">IF(OR(E50="",N50=""),"",N50/E50)</f>
        <v>1</v>
      </c>
      <c r="P50" s="1352">
        <v>200000</v>
      </c>
      <c r="Q50" s="902">
        <f t="shared" ref="Q50:Q83" si="14">IF(OR(E50="",P50=""),"",P50/E50)</f>
        <v>1</v>
      </c>
      <c r="R50" s="1283"/>
      <c r="S50" s="1357"/>
      <c r="AT50" s="764" t="str">
        <f t="shared" si="10"/>
        <v>421-GASTOS DE FUNCIONAMIENTO</v>
      </c>
    </row>
    <row r="51" spans="1:46" x14ac:dyDescent="0.3">
      <c r="A51" s="952">
        <v>4211</v>
      </c>
      <c r="B51" s="916" t="s">
        <v>1444</v>
      </c>
      <c r="C51" s="1353">
        <v>3000000</v>
      </c>
      <c r="D51" s="906">
        <f t="shared" si="11"/>
        <v>2.9999999999999997E-4</v>
      </c>
      <c r="E51" s="1353">
        <v>5000000</v>
      </c>
      <c r="F51" s="906">
        <f t="shared" si="12"/>
        <v>4.1666666666666669E-4</v>
      </c>
      <c r="G51" s="907">
        <f t="shared" si="7"/>
        <v>2000000</v>
      </c>
      <c r="H51" s="906">
        <f t="shared" si="8"/>
        <v>0.4</v>
      </c>
      <c r="I51" s="1356"/>
      <c r="J51" s="1353">
        <v>5000000</v>
      </c>
      <c r="K51" s="1353"/>
      <c r="L51" s="1353"/>
      <c r="M51" s="907">
        <f t="shared" si="9"/>
        <v>5000000</v>
      </c>
      <c r="N51" s="1353">
        <v>5000000</v>
      </c>
      <c r="O51" s="906">
        <f t="shared" si="13"/>
        <v>1</v>
      </c>
      <c r="P51" s="1353">
        <v>5000000</v>
      </c>
      <c r="Q51" s="906">
        <f t="shared" si="14"/>
        <v>1</v>
      </c>
      <c r="R51" s="1101"/>
      <c r="S51" s="1358"/>
      <c r="AT51" s="296" t="str">
        <f t="shared" si="10"/>
        <v>4211-Gasto de personal</v>
      </c>
    </row>
    <row r="52" spans="1:46" x14ac:dyDescent="0.3">
      <c r="A52" s="952">
        <v>421101</v>
      </c>
      <c r="B52" s="916" t="s">
        <v>1446</v>
      </c>
      <c r="C52" s="1353">
        <v>120000</v>
      </c>
      <c r="D52" s="906">
        <f t="shared" si="11"/>
        <v>1.2E-5</v>
      </c>
      <c r="E52" s="1353">
        <v>120000</v>
      </c>
      <c r="F52" s="906">
        <f t="shared" si="12"/>
        <v>1.0000000000000001E-5</v>
      </c>
      <c r="G52" s="907">
        <f t="shared" si="7"/>
        <v>0</v>
      </c>
      <c r="H52" s="906">
        <f t="shared" si="8"/>
        <v>0</v>
      </c>
      <c r="I52" s="1356"/>
      <c r="J52" s="1353">
        <v>120000</v>
      </c>
      <c r="K52" s="1353"/>
      <c r="L52" s="1353"/>
      <c r="M52" s="907">
        <f t="shared" si="9"/>
        <v>120000</v>
      </c>
      <c r="N52" s="1353">
        <v>120000</v>
      </c>
      <c r="O52" s="906">
        <f t="shared" si="13"/>
        <v>1</v>
      </c>
      <c r="P52" s="1353">
        <v>120000</v>
      </c>
      <c r="Q52" s="906">
        <f t="shared" si="14"/>
        <v>1</v>
      </c>
      <c r="R52" s="1101"/>
      <c r="S52" s="1358"/>
      <c r="AT52" s="296" t="str">
        <f t="shared" si="10"/>
        <v>421101-Planta de Personal permanente</v>
      </c>
    </row>
    <row r="53" spans="1:46" ht="16.5" customHeight="1" x14ac:dyDescent="0.3">
      <c r="A53" s="952">
        <v>421102</v>
      </c>
      <c r="B53" s="916" t="s">
        <v>1448</v>
      </c>
      <c r="C53" s="1353">
        <v>2000000</v>
      </c>
      <c r="D53" s="906">
        <f t="shared" si="11"/>
        <v>2.0000000000000001E-4</v>
      </c>
      <c r="E53" s="1353">
        <v>2000000</v>
      </c>
      <c r="F53" s="906">
        <f t="shared" si="12"/>
        <v>1.6666666666666666E-4</v>
      </c>
      <c r="G53" s="907">
        <f t="shared" si="7"/>
        <v>0</v>
      </c>
      <c r="H53" s="906">
        <f t="shared" si="8"/>
        <v>0</v>
      </c>
      <c r="I53" s="1356"/>
      <c r="J53" s="1353">
        <v>2000000</v>
      </c>
      <c r="K53" s="1353"/>
      <c r="L53" s="1353"/>
      <c r="M53" s="907">
        <f t="shared" si="9"/>
        <v>2000000</v>
      </c>
      <c r="N53" s="1353">
        <v>2000000</v>
      </c>
      <c r="O53" s="906">
        <f t="shared" si="13"/>
        <v>1</v>
      </c>
      <c r="P53" s="1353">
        <v>2000000</v>
      </c>
      <c r="Q53" s="906">
        <f t="shared" si="14"/>
        <v>1</v>
      </c>
      <c r="R53" s="1101"/>
      <c r="S53" s="1358"/>
      <c r="AT53" s="296" t="str">
        <f t="shared" si="10"/>
        <v>421102-Personal supernumerario y Planta temporal</v>
      </c>
    </row>
    <row r="54" spans="1:46" x14ac:dyDescent="0.3">
      <c r="A54" s="952">
        <v>4212</v>
      </c>
      <c r="B54" s="916" t="s">
        <v>1451</v>
      </c>
      <c r="C54" s="1353">
        <v>12000</v>
      </c>
      <c r="D54" s="906">
        <f t="shared" si="11"/>
        <v>1.1999999999999999E-6</v>
      </c>
      <c r="E54" s="1353">
        <v>12000</v>
      </c>
      <c r="F54" s="906">
        <f t="shared" si="12"/>
        <v>9.9999999999999995E-7</v>
      </c>
      <c r="G54" s="907">
        <f t="shared" si="7"/>
        <v>0</v>
      </c>
      <c r="H54" s="906">
        <f t="shared" si="8"/>
        <v>0</v>
      </c>
      <c r="I54" s="1356"/>
      <c r="J54" s="1353">
        <v>12000</v>
      </c>
      <c r="K54" s="1353"/>
      <c r="L54" s="1353"/>
      <c r="M54" s="907">
        <f t="shared" si="9"/>
        <v>12000</v>
      </c>
      <c r="N54" s="1353">
        <v>12000</v>
      </c>
      <c r="O54" s="906">
        <f t="shared" si="13"/>
        <v>1</v>
      </c>
      <c r="P54" s="1353">
        <v>12000</v>
      </c>
      <c r="Q54" s="906">
        <f t="shared" si="14"/>
        <v>1</v>
      </c>
      <c r="R54" s="1101"/>
      <c r="S54" s="1358"/>
      <c r="AT54" s="296" t="str">
        <f t="shared" si="10"/>
        <v>4212-Adquisición bienes y servicios</v>
      </c>
    </row>
    <row r="55" spans="1:46" x14ac:dyDescent="0.3">
      <c r="A55" s="952">
        <v>421201</v>
      </c>
      <c r="B55" s="916" t="s">
        <v>1453</v>
      </c>
      <c r="C55" s="1353">
        <v>12000</v>
      </c>
      <c r="D55" s="906">
        <f t="shared" si="11"/>
        <v>1.1999999999999999E-6</v>
      </c>
      <c r="E55" s="1353">
        <v>12000</v>
      </c>
      <c r="F55" s="906">
        <f t="shared" si="12"/>
        <v>9.9999999999999995E-7</v>
      </c>
      <c r="G55" s="907">
        <f t="shared" si="7"/>
        <v>0</v>
      </c>
      <c r="H55" s="906">
        <f t="shared" si="8"/>
        <v>0</v>
      </c>
      <c r="I55" s="1356"/>
      <c r="J55" s="1353">
        <v>12000</v>
      </c>
      <c r="K55" s="1353"/>
      <c r="L55" s="1353"/>
      <c r="M55" s="907">
        <f t="shared" si="9"/>
        <v>12000</v>
      </c>
      <c r="N55" s="1353">
        <v>12000</v>
      </c>
      <c r="O55" s="906">
        <f t="shared" si="13"/>
        <v>1</v>
      </c>
      <c r="P55" s="1353">
        <v>12000</v>
      </c>
      <c r="Q55" s="906">
        <f t="shared" si="14"/>
        <v>1</v>
      </c>
      <c r="R55" s="1101" t="s">
        <v>1639</v>
      </c>
      <c r="S55" s="1358"/>
      <c r="AT55" s="296" t="str">
        <f t="shared" si="10"/>
        <v>421201-Adquisición de activos no financieros</v>
      </c>
    </row>
    <row r="56" spans="1:46" x14ac:dyDescent="0.3">
      <c r="A56" s="952">
        <v>421202</v>
      </c>
      <c r="B56" s="916" t="s">
        <v>1455</v>
      </c>
      <c r="C56" s="1353">
        <v>12000</v>
      </c>
      <c r="D56" s="906">
        <f t="shared" si="11"/>
        <v>1.1999999999999999E-6</v>
      </c>
      <c r="E56" s="1353">
        <v>12000</v>
      </c>
      <c r="F56" s="906">
        <f t="shared" si="12"/>
        <v>9.9999999999999995E-7</v>
      </c>
      <c r="G56" s="907">
        <f t="shared" si="7"/>
        <v>0</v>
      </c>
      <c r="H56" s="906">
        <f t="shared" si="8"/>
        <v>0</v>
      </c>
      <c r="I56" s="1356"/>
      <c r="J56" s="1353">
        <v>12000</v>
      </c>
      <c r="K56" s="1353"/>
      <c r="L56" s="1353"/>
      <c r="M56" s="907">
        <f t="shared" si="9"/>
        <v>12000</v>
      </c>
      <c r="N56" s="1353">
        <v>12000</v>
      </c>
      <c r="O56" s="906">
        <f t="shared" si="13"/>
        <v>1</v>
      </c>
      <c r="P56" s="1353">
        <v>12000</v>
      </c>
      <c r="Q56" s="906">
        <f t="shared" si="14"/>
        <v>1</v>
      </c>
      <c r="R56" s="1101"/>
      <c r="S56" s="1358"/>
      <c r="AT56" s="296" t="str">
        <f t="shared" si="10"/>
        <v>421202-Adquisiciones diferentes de activos</v>
      </c>
    </row>
    <row r="57" spans="1:46" x14ac:dyDescent="0.3">
      <c r="A57" s="952">
        <v>4213</v>
      </c>
      <c r="B57" s="916" t="s">
        <v>1457</v>
      </c>
      <c r="C57" s="1353">
        <v>12000</v>
      </c>
      <c r="D57" s="906">
        <f t="shared" si="11"/>
        <v>1.1999999999999999E-6</v>
      </c>
      <c r="E57" s="1353">
        <v>130000</v>
      </c>
      <c r="F57" s="906">
        <f t="shared" si="12"/>
        <v>1.0833333333333334E-5</v>
      </c>
      <c r="G57" s="907">
        <f t="shared" si="7"/>
        <v>118000</v>
      </c>
      <c r="H57" s="906">
        <f t="shared" si="8"/>
        <v>0.90769230769230769</v>
      </c>
      <c r="I57" s="1356"/>
      <c r="J57" s="1353">
        <v>130000</v>
      </c>
      <c r="K57" s="1353"/>
      <c r="L57" s="1353"/>
      <c r="M57" s="907">
        <f t="shared" si="9"/>
        <v>130000</v>
      </c>
      <c r="N57" s="1353">
        <v>130000</v>
      </c>
      <c r="O57" s="906">
        <f t="shared" si="13"/>
        <v>1</v>
      </c>
      <c r="P57" s="1353">
        <v>130000</v>
      </c>
      <c r="Q57" s="906">
        <f t="shared" si="14"/>
        <v>1</v>
      </c>
      <c r="R57" s="1101"/>
      <c r="S57" s="1358"/>
      <c r="AT57" s="296" t="str">
        <f t="shared" si="10"/>
        <v>4213-Transferencias CORRIENTES</v>
      </c>
    </row>
    <row r="58" spans="1:46" x14ac:dyDescent="0.3">
      <c r="A58" s="952">
        <v>421304</v>
      </c>
      <c r="B58" s="916" t="s">
        <v>1459</v>
      </c>
      <c r="C58" s="1353">
        <v>12000</v>
      </c>
      <c r="D58" s="906">
        <f t="shared" si="11"/>
        <v>1.1999999999999999E-6</v>
      </c>
      <c r="E58" s="1353">
        <v>12000</v>
      </c>
      <c r="F58" s="906">
        <f t="shared" si="12"/>
        <v>9.9999999999999995E-7</v>
      </c>
      <c r="G58" s="907">
        <f t="shared" si="7"/>
        <v>0</v>
      </c>
      <c r="H58" s="906">
        <f t="shared" si="8"/>
        <v>0</v>
      </c>
      <c r="I58" s="1356"/>
      <c r="J58" s="1353">
        <v>12000</v>
      </c>
      <c r="K58" s="1353"/>
      <c r="L58" s="1353"/>
      <c r="M58" s="907">
        <f t="shared" si="9"/>
        <v>12000</v>
      </c>
      <c r="N58" s="1353">
        <v>12000</v>
      </c>
      <c r="O58" s="906">
        <f t="shared" si="13"/>
        <v>1</v>
      </c>
      <c r="P58" s="1353">
        <v>12000</v>
      </c>
      <c r="Q58" s="906">
        <f t="shared" si="14"/>
        <v>1</v>
      </c>
      <c r="R58" s="1101"/>
      <c r="S58" s="1358"/>
      <c r="AT58" s="296" t="str">
        <f t="shared" si="10"/>
        <v>421304-A organizaciones nacionales</v>
      </c>
    </row>
    <row r="59" spans="1:46" x14ac:dyDescent="0.3">
      <c r="A59" s="952">
        <v>421305</v>
      </c>
      <c r="B59" s="916" t="s">
        <v>1461</v>
      </c>
      <c r="C59" s="1353">
        <v>12000</v>
      </c>
      <c r="D59" s="906">
        <f t="shared" si="11"/>
        <v>1.1999999999999999E-6</v>
      </c>
      <c r="E59" s="1353">
        <v>12000</v>
      </c>
      <c r="F59" s="906">
        <f t="shared" si="12"/>
        <v>9.9999999999999995E-7</v>
      </c>
      <c r="G59" s="907">
        <f t="shared" si="7"/>
        <v>0</v>
      </c>
      <c r="H59" s="906">
        <f t="shared" si="8"/>
        <v>0</v>
      </c>
      <c r="I59" s="1356"/>
      <c r="J59" s="1353">
        <v>12000</v>
      </c>
      <c r="K59" s="1353"/>
      <c r="L59" s="1353"/>
      <c r="M59" s="907">
        <f t="shared" si="9"/>
        <v>12000</v>
      </c>
      <c r="N59" s="1353">
        <v>12000</v>
      </c>
      <c r="O59" s="906">
        <f t="shared" si="13"/>
        <v>1</v>
      </c>
      <c r="P59" s="1353">
        <v>12000</v>
      </c>
      <c r="Q59" s="906">
        <f t="shared" si="14"/>
        <v>1</v>
      </c>
      <c r="R59" s="1101"/>
      <c r="S59" s="1358"/>
      <c r="AT59" s="296" t="str">
        <f t="shared" si="10"/>
        <v>421305-A entidades del gobierno</v>
      </c>
    </row>
    <row r="60" spans="1:46" x14ac:dyDescent="0.3">
      <c r="A60" s="952">
        <v>0</v>
      </c>
      <c r="B60" s="916" t="s">
        <v>441</v>
      </c>
      <c r="C60" s="1353">
        <v>12000</v>
      </c>
      <c r="D60" s="906">
        <f t="shared" si="11"/>
        <v>1.1999999999999999E-6</v>
      </c>
      <c r="E60" s="1353">
        <v>12000</v>
      </c>
      <c r="F60" s="906">
        <f t="shared" si="12"/>
        <v>9.9999999999999995E-7</v>
      </c>
      <c r="G60" s="907">
        <f t="shared" si="7"/>
        <v>0</v>
      </c>
      <c r="H60" s="906">
        <f t="shared" si="8"/>
        <v>0</v>
      </c>
      <c r="I60" s="1356"/>
      <c r="J60" s="1353">
        <v>12000</v>
      </c>
      <c r="K60" s="1353"/>
      <c r="L60" s="1353"/>
      <c r="M60" s="907">
        <f t="shared" si="9"/>
        <v>12000</v>
      </c>
      <c r="N60" s="1353">
        <v>12000</v>
      </c>
      <c r="O60" s="906">
        <f t="shared" si="13"/>
        <v>1</v>
      </c>
      <c r="P60" s="1353">
        <v>12000</v>
      </c>
      <c r="Q60" s="906">
        <f t="shared" si="14"/>
        <v>1</v>
      </c>
      <c r="R60" s="1101"/>
      <c r="S60" s="1358"/>
      <c r="AT60" s="296" t="str">
        <f t="shared" si="10"/>
        <v>0-Adquisición de activos financieros</v>
      </c>
    </row>
    <row r="61" spans="1:46" x14ac:dyDescent="0.3">
      <c r="A61" s="952">
        <v>421314</v>
      </c>
      <c r="B61" s="916" t="s">
        <v>1463</v>
      </c>
      <c r="C61" s="1353">
        <v>12009</v>
      </c>
      <c r="D61" s="906">
        <f t="shared" si="11"/>
        <v>1.2009E-6</v>
      </c>
      <c r="E61" s="1353">
        <v>12000</v>
      </c>
      <c r="F61" s="906">
        <f t="shared" si="12"/>
        <v>9.9999999999999995E-7</v>
      </c>
      <c r="G61" s="907">
        <f t="shared" si="7"/>
        <v>-9</v>
      </c>
      <c r="H61" s="906">
        <f t="shared" si="8"/>
        <v>-7.5000000000000002E-4</v>
      </c>
      <c r="I61" s="1356"/>
      <c r="J61" s="1353">
        <v>12000</v>
      </c>
      <c r="K61" s="1353"/>
      <c r="L61" s="1353"/>
      <c r="M61" s="907">
        <f t="shared" si="9"/>
        <v>12000</v>
      </c>
      <c r="N61" s="1353">
        <v>12000</v>
      </c>
      <c r="O61" s="906">
        <f t="shared" si="13"/>
        <v>1</v>
      </c>
      <c r="P61" s="1353">
        <v>12000</v>
      </c>
      <c r="Q61" s="906">
        <f t="shared" si="14"/>
        <v>1</v>
      </c>
      <c r="R61" s="1101"/>
      <c r="S61" s="1358"/>
      <c r="AT61" s="296" t="str">
        <f t="shared" si="10"/>
        <v>421314-Aportes al FONPET</v>
      </c>
    </row>
    <row r="62" spans="1:46" x14ac:dyDescent="0.3">
      <c r="A62" s="952">
        <v>4217</v>
      </c>
      <c r="B62" s="916" t="s">
        <v>1465</v>
      </c>
      <c r="C62" s="1353">
        <v>12010</v>
      </c>
      <c r="D62" s="906">
        <f t="shared" si="11"/>
        <v>1.201E-6</v>
      </c>
      <c r="E62" s="1353">
        <v>12000</v>
      </c>
      <c r="F62" s="906">
        <f t="shared" si="12"/>
        <v>9.9999999999999995E-7</v>
      </c>
      <c r="G62" s="907">
        <f t="shared" si="7"/>
        <v>-10</v>
      </c>
      <c r="H62" s="906">
        <f t="shared" si="8"/>
        <v>-8.3333333333333339E-4</v>
      </c>
      <c r="I62" s="1356"/>
      <c r="J62" s="1353">
        <v>12000</v>
      </c>
      <c r="K62" s="1353"/>
      <c r="L62" s="1353"/>
      <c r="M62" s="907">
        <f t="shared" si="9"/>
        <v>12000</v>
      </c>
      <c r="N62" s="1353">
        <v>12000</v>
      </c>
      <c r="O62" s="906">
        <f t="shared" si="13"/>
        <v>1</v>
      </c>
      <c r="P62" s="1353">
        <v>12000</v>
      </c>
      <c r="Q62" s="906">
        <f t="shared" si="14"/>
        <v>1</v>
      </c>
      <c r="R62" s="1101"/>
      <c r="S62" s="1358"/>
      <c r="AT62" s="296" t="str">
        <f t="shared" si="10"/>
        <v>4217-Disminución de Pasivos</v>
      </c>
    </row>
    <row r="63" spans="1:46" ht="18.75" customHeight="1" x14ac:dyDescent="0.3">
      <c r="A63" s="952">
        <v>4218</v>
      </c>
      <c r="B63" s="916" t="s">
        <v>443</v>
      </c>
      <c r="C63" s="1353">
        <v>12000</v>
      </c>
      <c r="D63" s="906">
        <f t="shared" si="11"/>
        <v>1.1999999999999999E-6</v>
      </c>
      <c r="E63" s="1353">
        <v>12000</v>
      </c>
      <c r="F63" s="906">
        <f t="shared" si="12"/>
        <v>9.9999999999999995E-7</v>
      </c>
      <c r="G63" s="907">
        <f t="shared" si="7"/>
        <v>0</v>
      </c>
      <c r="H63" s="906">
        <f t="shared" si="8"/>
        <v>0</v>
      </c>
      <c r="I63" s="1356"/>
      <c r="J63" s="1353">
        <v>12000</v>
      </c>
      <c r="K63" s="1353"/>
      <c r="L63" s="1353"/>
      <c r="M63" s="907">
        <f t="shared" si="9"/>
        <v>12000</v>
      </c>
      <c r="N63" s="1353">
        <v>12000</v>
      </c>
      <c r="O63" s="906">
        <f t="shared" si="13"/>
        <v>1</v>
      </c>
      <c r="P63" s="1353">
        <v>12000</v>
      </c>
      <c r="Q63" s="906">
        <f t="shared" si="14"/>
        <v>1</v>
      </c>
      <c r="R63" s="1101"/>
      <c r="S63" s="1358"/>
      <c r="AT63" s="296" t="str">
        <f t="shared" si="10"/>
        <v>4218-Gastos por tributos, tasas, contribuciones, multas, sanciones e intereses de mora</v>
      </c>
    </row>
    <row r="64" spans="1:46" s="770" customFormat="1" x14ac:dyDescent="0.3">
      <c r="A64" s="953">
        <v>422</v>
      </c>
      <c r="B64" s="794" t="s">
        <v>1468</v>
      </c>
      <c r="C64" s="1352">
        <v>12001</v>
      </c>
      <c r="D64" s="902">
        <f t="shared" si="11"/>
        <v>1.2001E-6</v>
      </c>
      <c r="E64" s="1352">
        <v>12001</v>
      </c>
      <c r="F64" s="902">
        <f t="shared" si="12"/>
        <v>1.0000833333333333E-6</v>
      </c>
      <c r="G64" s="903">
        <f t="shared" si="7"/>
        <v>0</v>
      </c>
      <c r="H64" s="902">
        <f t="shared" si="8"/>
        <v>0</v>
      </c>
      <c r="I64" s="1355"/>
      <c r="J64" s="1352">
        <v>12001</v>
      </c>
      <c r="K64" s="1352"/>
      <c r="L64" s="1352"/>
      <c r="M64" s="903">
        <f t="shared" si="9"/>
        <v>12001</v>
      </c>
      <c r="N64" s="1352">
        <v>12001</v>
      </c>
      <c r="O64" s="902">
        <f t="shared" si="13"/>
        <v>1</v>
      </c>
      <c r="P64" s="1352">
        <v>12001</v>
      </c>
      <c r="Q64" s="902">
        <f t="shared" si="14"/>
        <v>1</v>
      </c>
      <c r="R64" s="1283"/>
      <c r="S64" s="1357"/>
      <c r="AT64" s="764" t="str">
        <f t="shared" si="10"/>
        <v>422-SERVICIO DE LA DEUDA PÚBLICA</v>
      </c>
    </row>
    <row r="65" spans="1:46" x14ac:dyDescent="0.3">
      <c r="A65" s="952">
        <v>4221</v>
      </c>
      <c r="B65" s="916" t="s">
        <v>1470</v>
      </c>
      <c r="C65" s="1353">
        <v>12002</v>
      </c>
      <c r="D65" s="906">
        <f t="shared" si="11"/>
        <v>1.2002E-6</v>
      </c>
      <c r="E65" s="1353">
        <v>12002</v>
      </c>
      <c r="F65" s="906">
        <f t="shared" si="12"/>
        <v>1.0001666666666666E-6</v>
      </c>
      <c r="G65" s="907">
        <f t="shared" si="7"/>
        <v>0</v>
      </c>
      <c r="H65" s="906">
        <f t="shared" si="8"/>
        <v>0</v>
      </c>
      <c r="I65" s="1356"/>
      <c r="J65" s="1353">
        <v>12002</v>
      </c>
      <c r="K65" s="1353"/>
      <c r="L65" s="1353"/>
      <c r="M65" s="907">
        <f t="shared" si="9"/>
        <v>12002</v>
      </c>
      <c r="N65" s="1353">
        <v>12002</v>
      </c>
      <c r="O65" s="906">
        <f t="shared" si="13"/>
        <v>1</v>
      </c>
      <c r="P65" s="1353">
        <v>12002</v>
      </c>
      <c r="Q65" s="906">
        <f t="shared" si="14"/>
        <v>1</v>
      </c>
      <c r="R65" s="1101"/>
      <c r="S65" s="1358"/>
      <c r="AT65" s="296" t="str">
        <f t="shared" si="10"/>
        <v>4221-Servicios de la deuda pública externa</v>
      </c>
    </row>
    <row r="66" spans="1:46" x14ac:dyDescent="0.3">
      <c r="A66" s="952">
        <v>422101</v>
      </c>
      <c r="B66" s="916" t="s">
        <v>1472</v>
      </c>
      <c r="C66" s="1353">
        <v>12003</v>
      </c>
      <c r="D66" s="906">
        <f t="shared" si="11"/>
        <v>1.2003E-6</v>
      </c>
      <c r="E66" s="1353">
        <v>12003</v>
      </c>
      <c r="F66" s="906">
        <f t="shared" si="12"/>
        <v>1.0002500000000001E-6</v>
      </c>
      <c r="G66" s="907">
        <f t="shared" si="7"/>
        <v>0</v>
      </c>
      <c r="H66" s="906">
        <f t="shared" si="8"/>
        <v>0</v>
      </c>
      <c r="I66" s="1356"/>
      <c r="J66" s="1353">
        <v>12003</v>
      </c>
      <c r="K66" s="1353"/>
      <c r="L66" s="1353"/>
      <c r="M66" s="907">
        <f t="shared" si="9"/>
        <v>12003</v>
      </c>
      <c r="N66" s="1353">
        <v>12003</v>
      </c>
      <c r="O66" s="906">
        <f t="shared" si="13"/>
        <v>1</v>
      </c>
      <c r="P66" s="1353">
        <v>12003</v>
      </c>
      <c r="Q66" s="906">
        <f t="shared" si="14"/>
        <v>1</v>
      </c>
      <c r="R66" s="1101"/>
      <c r="S66" s="1358"/>
      <c r="AT66" s="296" t="str">
        <f t="shared" si="10"/>
        <v>422101-Principal</v>
      </c>
    </row>
    <row r="67" spans="1:46" x14ac:dyDescent="0.3">
      <c r="A67" s="952">
        <v>422102</v>
      </c>
      <c r="B67" s="916" t="s">
        <v>1474</v>
      </c>
      <c r="C67" s="1353">
        <v>12004</v>
      </c>
      <c r="D67" s="906">
        <f t="shared" si="11"/>
        <v>1.2004E-6</v>
      </c>
      <c r="E67" s="1353">
        <v>12004</v>
      </c>
      <c r="F67" s="906">
        <f t="shared" si="12"/>
        <v>1.0003333333333334E-6</v>
      </c>
      <c r="G67" s="907">
        <f t="shared" si="7"/>
        <v>0</v>
      </c>
      <c r="H67" s="906">
        <f t="shared" si="8"/>
        <v>0</v>
      </c>
      <c r="I67" s="1356"/>
      <c r="J67" s="1353">
        <v>12004</v>
      </c>
      <c r="K67" s="1353"/>
      <c r="L67" s="1353"/>
      <c r="M67" s="907">
        <f t="shared" si="9"/>
        <v>12004</v>
      </c>
      <c r="N67" s="1353">
        <v>12004</v>
      </c>
      <c r="O67" s="906">
        <f t="shared" si="13"/>
        <v>1</v>
      </c>
      <c r="P67" s="1353">
        <v>12004</v>
      </c>
      <c r="Q67" s="906">
        <f t="shared" si="14"/>
        <v>1</v>
      </c>
      <c r="R67" s="1101"/>
      <c r="S67" s="1358"/>
      <c r="AT67" s="296" t="str">
        <f t="shared" si="10"/>
        <v>422102-Intereses</v>
      </c>
    </row>
    <row r="68" spans="1:46" x14ac:dyDescent="0.3">
      <c r="A68" s="952">
        <v>4222</v>
      </c>
      <c r="B68" s="916" t="s">
        <v>1476</v>
      </c>
      <c r="C68" s="1353">
        <v>12005</v>
      </c>
      <c r="D68" s="906">
        <f t="shared" si="11"/>
        <v>1.2005E-6</v>
      </c>
      <c r="E68" s="1353">
        <v>12005</v>
      </c>
      <c r="F68" s="906">
        <f t="shared" si="12"/>
        <v>1.0004166666666667E-6</v>
      </c>
      <c r="G68" s="907">
        <f t="shared" si="7"/>
        <v>0</v>
      </c>
      <c r="H68" s="906">
        <f t="shared" si="8"/>
        <v>0</v>
      </c>
      <c r="I68" s="1356"/>
      <c r="J68" s="1353">
        <v>12005</v>
      </c>
      <c r="K68" s="1353"/>
      <c r="L68" s="1353"/>
      <c r="M68" s="907">
        <f t="shared" si="9"/>
        <v>12005</v>
      </c>
      <c r="N68" s="1353">
        <v>12005</v>
      </c>
      <c r="O68" s="906">
        <f t="shared" si="13"/>
        <v>1</v>
      </c>
      <c r="P68" s="1353">
        <v>12005</v>
      </c>
      <c r="Q68" s="906">
        <f t="shared" si="14"/>
        <v>1</v>
      </c>
      <c r="R68" s="1101"/>
      <c r="S68" s="1358"/>
      <c r="AT68" s="296" t="str">
        <f t="shared" si="10"/>
        <v>4222-Servicios de la deuda pública interna</v>
      </c>
    </row>
    <row r="69" spans="1:46" x14ac:dyDescent="0.3">
      <c r="A69" s="952">
        <v>422201</v>
      </c>
      <c r="B69" s="916" t="s">
        <v>1472</v>
      </c>
      <c r="C69" s="1353">
        <v>12006</v>
      </c>
      <c r="D69" s="906">
        <f t="shared" si="11"/>
        <v>1.2006E-6</v>
      </c>
      <c r="E69" s="1353">
        <v>12006</v>
      </c>
      <c r="F69" s="906">
        <f t="shared" si="12"/>
        <v>1.0005E-6</v>
      </c>
      <c r="G69" s="907">
        <f t="shared" si="7"/>
        <v>0</v>
      </c>
      <c r="H69" s="906">
        <f t="shared" si="8"/>
        <v>0</v>
      </c>
      <c r="I69" s="1356"/>
      <c r="J69" s="1353">
        <v>12006</v>
      </c>
      <c r="K69" s="1353"/>
      <c r="L69" s="1353"/>
      <c r="M69" s="907">
        <f t="shared" si="9"/>
        <v>12006</v>
      </c>
      <c r="N69" s="1353">
        <v>12006</v>
      </c>
      <c r="O69" s="906">
        <f t="shared" si="13"/>
        <v>1</v>
      </c>
      <c r="P69" s="1353">
        <v>12006</v>
      </c>
      <c r="Q69" s="906">
        <f t="shared" si="14"/>
        <v>1</v>
      </c>
      <c r="R69" s="1101"/>
      <c r="S69" s="1358"/>
      <c r="AT69" s="296" t="str">
        <f t="shared" si="10"/>
        <v>422201-Principal</v>
      </c>
    </row>
    <row r="70" spans="1:46" x14ac:dyDescent="0.3">
      <c r="A70" s="952">
        <v>422202</v>
      </c>
      <c r="B70" s="916" t="s">
        <v>1474</v>
      </c>
      <c r="C70" s="1353">
        <v>12007</v>
      </c>
      <c r="D70" s="906">
        <f t="shared" si="11"/>
        <v>1.2007E-6</v>
      </c>
      <c r="E70" s="1353">
        <v>12007</v>
      </c>
      <c r="F70" s="906">
        <f t="shared" si="12"/>
        <v>1.0005833333333333E-6</v>
      </c>
      <c r="G70" s="907">
        <f t="shared" si="7"/>
        <v>0</v>
      </c>
      <c r="H70" s="906">
        <f t="shared" si="8"/>
        <v>0</v>
      </c>
      <c r="I70" s="1356"/>
      <c r="J70" s="1353">
        <v>12007</v>
      </c>
      <c r="K70" s="1353"/>
      <c r="L70" s="1353"/>
      <c r="M70" s="907">
        <f t="shared" si="9"/>
        <v>12007</v>
      </c>
      <c r="N70" s="1353">
        <v>12007</v>
      </c>
      <c r="O70" s="906">
        <f t="shared" si="13"/>
        <v>1</v>
      </c>
      <c r="P70" s="1353">
        <v>12007</v>
      </c>
      <c r="Q70" s="906">
        <f t="shared" si="14"/>
        <v>1</v>
      </c>
      <c r="R70" s="1101"/>
      <c r="S70" s="1358"/>
      <c r="AT70" s="296" t="str">
        <f t="shared" si="10"/>
        <v>422202-Intereses</v>
      </c>
    </row>
    <row r="71" spans="1:46" x14ac:dyDescent="0.3">
      <c r="A71" s="952">
        <v>422203</v>
      </c>
      <c r="B71" s="916" t="s">
        <v>1480</v>
      </c>
      <c r="C71" s="1353">
        <v>12008</v>
      </c>
      <c r="D71" s="906">
        <f t="shared" si="11"/>
        <v>1.2008E-6</v>
      </c>
      <c r="E71" s="1353">
        <v>12008</v>
      </c>
      <c r="F71" s="906">
        <f t="shared" si="12"/>
        <v>1.0006666666666666E-6</v>
      </c>
      <c r="G71" s="907">
        <f t="shared" si="7"/>
        <v>0</v>
      </c>
      <c r="H71" s="906">
        <f t="shared" si="8"/>
        <v>0</v>
      </c>
      <c r="I71" s="1356"/>
      <c r="J71" s="1353">
        <v>12008</v>
      </c>
      <c r="K71" s="1353"/>
      <c r="L71" s="1353"/>
      <c r="M71" s="907">
        <f t="shared" si="9"/>
        <v>12008</v>
      </c>
      <c r="N71" s="1353">
        <v>12008</v>
      </c>
      <c r="O71" s="906">
        <f t="shared" si="13"/>
        <v>1</v>
      </c>
      <c r="P71" s="1353">
        <v>12008</v>
      </c>
      <c r="Q71" s="906">
        <f t="shared" si="14"/>
        <v>1</v>
      </c>
      <c r="R71" s="1101"/>
      <c r="S71" s="1358"/>
      <c r="AT71" s="296" t="str">
        <f t="shared" si="10"/>
        <v>422203-Comisiones y otros GASTOS</v>
      </c>
    </row>
    <row r="72" spans="1:46" s="770" customFormat="1" x14ac:dyDescent="0.3">
      <c r="A72" s="953">
        <v>423</v>
      </c>
      <c r="B72" s="794" t="s">
        <v>1482</v>
      </c>
      <c r="C72" s="1352">
        <v>12009</v>
      </c>
      <c r="D72" s="902">
        <f t="shared" si="11"/>
        <v>1.2009E-6</v>
      </c>
      <c r="E72" s="1352">
        <v>12009</v>
      </c>
      <c r="F72" s="902">
        <f t="shared" si="12"/>
        <v>1.0007499999999999E-6</v>
      </c>
      <c r="G72" s="903">
        <f t="shared" si="7"/>
        <v>0</v>
      </c>
      <c r="H72" s="902">
        <f t="shared" si="8"/>
        <v>0</v>
      </c>
      <c r="I72" s="1355"/>
      <c r="J72" s="1352">
        <v>12009</v>
      </c>
      <c r="K72" s="1352"/>
      <c r="L72" s="1352"/>
      <c r="M72" s="903">
        <f t="shared" si="9"/>
        <v>12009</v>
      </c>
      <c r="N72" s="1352">
        <v>12009</v>
      </c>
      <c r="O72" s="902">
        <f t="shared" si="13"/>
        <v>1</v>
      </c>
      <c r="P72" s="1352">
        <v>12009</v>
      </c>
      <c r="Q72" s="902">
        <f t="shared" si="14"/>
        <v>1</v>
      </c>
      <c r="R72" s="1283"/>
      <c r="S72" s="1357"/>
      <c r="AT72" s="764" t="str">
        <f t="shared" si="10"/>
        <v>423-INVERSIÓN</v>
      </c>
    </row>
    <row r="73" spans="1:46" x14ac:dyDescent="0.3">
      <c r="A73" s="952">
        <v>42301</v>
      </c>
      <c r="B73" s="916" t="s">
        <v>1484</v>
      </c>
      <c r="C73" s="1353">
        <v>12010</v>
      </c>
      <c r="D73" s="906">
        <f t="shared" si="11"/>
        <v>1.201E-6</v>
      </c>
      <c r="E73" s="1353">
        <v>12010</v>
      </c>
      <c r="F73" s="906">
        <f t="shared" si="12"/>
        <v>1.0008333333333334E-6</v>
      </c>
      <c r="G73" s="907">
        <f t="shared" si="7"/>
        <v>0</v>
      </c>
      <c r="H73" s="906">
        <f t="shared" si="8"/>
        <v>0</v>
      </c>
      <c r="I73" s="1356"/>
      <c r="J73" s="1353">
        <v>12010</v>
      </c>
      <c r="K73" s="1353"/>
      <c r="L73" s="1353"/>
      <c r="M73" s="907">
        <f t="shared" si="9"/>
        <v>12010</v>
      </c>
      <c r="N73" s="1353">
        <v>12010</v>
      </c>
      <c r="O73" s="906">
        <f t="shared" si="13"/>
        <v>1</v>
      </c>
      <c r="P73" s="1353">
        <v>12010</v>
      </c>
      <c r="Q73" s="906">
        <f t="shared" si="14"/>
        <v>1</v>
      </c>
      <c r="R73" s="1101"/>
      <c r="S73" s="1358"/>
      <c r="AT73" s="296" t="str">
        <f t="shared" si="10"/>
        <v>42301-Directa</v>
      </c>
    </row>
    <row r="74" spans="1:46" x14ac:dyDescent="0.3">
      <c r="A74" s="952">
        <v>4233</v>
      </c>
      <c r="B74" s="916" t="s">
        <v>1457</v>
      </c>
      <c r="C74" s="1353">
        <v>12011</v>
      </c>
      <c r="D74" s="906">
        <f t="shared" si="11"/>
        <v>1.2011E-6</v>
      </c>
      <c r="E74" s="1353">
        <v>12011</v>
      </c>
      <c r="F74" s="906">
        <f t="shared" si="12"/>
        <v>1.0009166666666667E-6</v>
      </c>
      <c r="G74" s="907">
        <f t="shared" si="7"/>
        <v>0</v>
      </c>
      <c r="H74" s="906">
        <f t="shared" si="8"/>
        <v>0</v>
      </c>
      <c r="I74" s="1356"/>
      <c r="J74" s="1353">
        <v>12011</v>
      </c>
      <c r="K74" s="1353"/>
      <c r="L74" s="1353"/>
      <c r="M74" s="907">
        <f t="shared" si="9"/>
        <v>12011</v>
      </c>
      <c r="N74" s="1353">
        <v>12011</v>
      </c>
      <c r="O74" s="906">
        <f t="shared" si="13"/>
        <v>1</v>
      </c>
      <c r="P74" s="1353">
        <v>12011</v>
      </c>
      <c r="Q74" s="906">
        <f t="shared" si="14"/>
        <v>1</v>
      </c>
      <c r="R74" s="1101"/>
      <c r="S74" s="1358"/>
      <c r="AT74" s="296" t="str">
        <f t="shared" si="10"/>
        <v>4233-Transferencias CORRIENTES</v>
      </c>
    </row>
    <row r="75" spans="1:46" x14ac:dyDescent="0.3">
      <c r="A75" s="952">
        <v>423301</v>
      </c>
      <c r="B75" s="916" t="s">
        <v>1487</v>
      </c>
      <c r="C75" s="1353">
        <v>12012</v>
      </c>
      <c r="D75" s="906">
        <f t="shared" si="11"/>
        <v>1.2012E-6</v>
      </c>
      <c r="E75" s="1353">
        <v>12012</v>
      </c>
      <c r="F75" s="906">
        <f t="shared" si="12"/>
        <v>1.001E-6</v>
      </c>
      <c r="G75" s="907">
        <f t="shared" si="7"/>
        <v>0</v>
      </c>
      <c r="H75" s="906">
        <f t="shared" si="8"/>
        <v>0</v>
      </c>
      <c r="I75" s="1356"/>
      <c r="J75" s="1353">
        <v>12012</v>
      </c>
      <c r="K75" s="1353"/>
      <c r="L75" s="1353"/>
      <c r="M75" s="907">
        <f t="shared" si="9"/>
        <v>12012</v>
      </c>
      <c r="N75" s="1353">
        <v>12012</v>
      </c>
      <c r="O75" s="906">
        <f t="shared" si="13"/>
        <v>1</v>
      </c>
      <c r="P75" s="1353">
        <v>12012</v>
      </c>
      <c r="Q75" s="906">
        <f t="shared" si="14"/>
        <v>1</v>
      </c>
      <c r="R75" s="1101"/>
      <c r="S75" s="1358"/>
      <c r="AT75" s="296" t="str">
        <f t="shared" si="10"/>
        <v>423301-Subvenciones</v>
      </c>
    </row>
    <row r="76" spans="1:46" x14ac:dyDescent="0.3">
      <c r="A76" s="952">
        <v>423302</v>
      </c>
      <c r="B76" s="916" t="s">
        <v>1489</v>
      </c>
      <c r="C76" s="1353">
        <v>12013</v>
      </c>
      <c r="D76" s="906">
        <f t="shared" si="11"/>
        <v>1.2013E-6</v>
      </c>
      <c r="E76" s="1353">
        <v>12013</v>
      </c>
      <c r="F76" s="906">
        <f t="shared" si="12"/>
        <v>1.0010833333333333E-6</v>
      </c>
      <c r="G76" s="907">
        <f t="shared" si="7"/>
        <v>0</v>
      </c>
      <c r="H76" s="906">
        <f t="shared" si="8"/>
        <v>0</v>
      </c>
      <c r="I76" s="1356"/>
      <c r="J76" s="1353">
        <v>12013</v>
      </c>
      <c r="K76" s="1353"/>
      <c r="L76" s="1353"/>
      <c r="M76" s="907">
        <f t="shared" si="9"/>
        <v>12013</v>
      </c>
      <c r="N76" s="1353">
        <v>12013</v>
      </c>
      <c r="O76" s="906">
        <f t="shared" si="13"/>
        <v>1</v>
      </c>
      <c r="P76" s="1353">
        <v>12013</v>
      </c>
      <c r="Q76" s="906">
        <f t="shared" si="14"/>
        <v>1</v>
      </c>
      <c r="R76" s="1101"/>
      <c r="S76" s="1358"/>
      <c r="AT76" s="296" t="str">
        <f t="shared" si="10"/>
        <v>423302-A empresas diferentes de subvenciones</v>
      </c>
    </row>
    <row r="77" spans="1:46" x14ac:dyDescent="0.3">
      <c r="A77" s="952">
        <v>423305</v>
      </c>
      <c r="B77" s="916" t="s">
        <v>1461</v>
      </c>
      <c r="C77" s="1353">
        <v>12014</v>
      </c>
      <c r="D77" s="906">
        <f t="shared" si="11"/>
        <v>1.2014000000000001E-6</v>
      </c>
      <c r="E77" s="1353">
        <v>12014</v>
      </c>
      <c r="F77" s="906">
        <f t="shared" si="12"/>
        <v>1.0011666666666666E-6</v>
      </c>
      <c r="G77" s="907">
        <f t="shared" si="7"/>
        <v>0</v>
      </c>
      <c r="H77" s="906">
        <f t="shared" si="8"/>
        <v>0</v>
      </c>
      <c r="I77" s="1356"/>
      <c r="J77" s="1353">
        <v>12014</v>
      </c>
      <c r="K77" s="1353"/>
      <c r="L77" s="1353"/>
      <c r="M77" s="907">
        <f t="shared" si="9"/>
        <v>12014</v>
      </c>
      <c r="N77" s="1353">
        <v>12014</v>
      </c>
      <c r="O77" s="906">
        <f t="shared" si="13"/>
        <v>1</v>
      </c>
      <c r="P77" s="1353">
        <v>12014</v>
      </c>
      <c r="Q77" s="906">
        <f t="shared" si="14"/>
        <v>1</v>
      </c>
      <c r="R77" s="1101"/>
      <c r="S77" s="1358"/>
      <c r="AT77" s="296" t="str">
        <f t="shared" si="10"/>
        <v>423305-A entidades del gobierno</v>
      </c>
    </row>
    <row r="78" spans="1:46" x14ac:dyDescent="0.3">
      <c r="A78" s="952">
        <v>423307</v>
      </c>
      <c r="B78" s="916" t="s">
        <v>1494</v>
      </c>
      <c r="C78" s="1353">
        <v>12015</v>
      </c>
      <c r="D78" s="906">
        <f t="shared" si="11"/>
        <v>1.2015000000000001E-6</v>
      </c>
      <c r="E78" s="1353">
        <v>12015</v>
      </c>
      <c r="F78" s="906">
        <f t="shared" si="12"/>
        <v>1.0012499999999999E-6</v>
      </c>
      <c r="G78" s="907">
        <f t="shared" si="7"/>
        <v>0</v>
      </c>
      <c r="H78" s="906">
        <f t="shared" si="8"/>
        <v>0</v>
      </c>
      <c r="I78" s="1356"/>
      <c r="J78" s="1353">
        <v>12015</v>
      </c>
      <c r="K78" s="1353"/>
      <c r="L78" s="1353"/>
      <c r="M78" s="907">
        <f t="shared" si="9"/>
        <v>12015</v>
      </c>
      <c r="N78" s="1353">
        <v>12015</v>
      </c>
      <c r="O78" s="906">
        <f t="shared" si="13"/>
        <v>1</v>
      </c>
      <c r="P78" s="1353">
        <v>12015</v>
      </c>
      <c r="Q78" s="906">
        <f t="shared" si="14"/>
        <v>1</v>
      </c>
      <c r="R78" s="1101"/>
      <c r="S78" s="1358"/>
      <c r="AT78" s="296" t="str">
        <f t="shared" si="10"/>
        <v>423307-Prestaciones para cubrir riesgos sociales</v>
      </c>
    </row>
    <row r="79" spans="1:46" x14ac:dyDescent="0.3">
      <c r="A79" s="952">
        <v>423313</v>
      </c>
      <c r="B79" s="916" t="s">
        <v>1497</v>
      </c>
      <c r="C79" s="1353">
        <v>12016</v>
      </c>
      <c r="D79" s="906">
        <f t="shared" si="11"/>
        <v>1.2016000000000001E-6</v>
      </c>
      <c r="E79" s="1353">
        <v>12016</v>
      </c>
      <c r="F79" s="906">
        <f t="shared" si="12"/>
        <v>1.0013333333333332E-6</v>
      </c>
      <c r="G79" s="907">
        <f t="shared" si="7"/>
        <v>0</v>
      </c>
      <c r="H79" s="906">
        <f t="shared" si="8"/>
        <v>0</v>
      </c>
      <c r="I79" s="1356"/>
      <c r="J79" s="1353">
        <v>12016</v>
      </c>
      <c r="K79" s="1353"/>
      <c r="L79" s="1353"/>
      <c r="M79" s="907">
        <f t="shared" si="9"/>
        <v>12016</v>
      </c>
      <c r="N79" s="1353">
        <v>12016</v>
      </c>
      <c r="O79" s="906">
        <f t="shared" si="13"/>
        <v>1</v>
      </c>
      <c r="P79" s="1353">
        <v>12016</v>
      </c>
      <c r="Q79" s="906">
        <f t="shared" si="14"/>
        <v>1</v>
      </c>
      <c r="R79" s="1101"/>
      <c r="S79" s="1358"/>
      <c r="AT79" s="296" t="str">
        <f t="shared" si="10"/>
        <v>423313-Sentencias y conciliaciones</v>
      </c>
    </row>
    <row r="80" spans="1:46" x14ac:dyDescent="0.3">
      <c r="A80" s="952">
        <v>4234</v>
      </c>
      <c r="B80" s="916" t="s">
        <v>1500</v>
      </c>
      <c r="C80" s="1353">
        <v>12017</v>
      </c>
      <c r="D80" s="906">
        <f t="shared" si="11"/>
        <v>1.2017000000000001E-6</v>
      </c>
      <c r="E80" s="1353">
        <v>12017</v>
      </c>
      <c r="F80" s="906">
        <f t="shared" si="12"/>
        <v>1.0014166666666668E-6</v>
      </c>
      <c r="G80" s="907">
        <f t="shared" si="7"/>
        <v>0</v>
      </c>
      <c r="H80" s="906">
        <f t="shared" si="8"/>
        <v>0</v>
      </c>
      <c r="I80" s="1356"/>
      <c r="J80" s="1353">
        <v>12017</v>
      </c>
      <c r="K80" s="1353"/>
      <c r="L80" s="1353"/>
      <c r="M80" s="907">
        <f t="shared" si="9"/>
        <v>12017</v>
      </c>
      <c r="N80" s="1353">
        <v>12017</v>
      </c>
      <c r="O80" s="906">
        <f t="shared" si="13"/>
        <v>1</v>
      </c>
      <c r="P80" s="1353">
        <v>12017</v>
      </c>
      <c r="Q80" s="906">
        <f t="shared" si="14"/>
        <v>1</v>
      </c>
      <c r="R80" s="1101"/>
      <c r="S80" s="1358"/>
      <c r="AT80" s="296" t="str">
        <f t="shared" si="10"/>
        <v>4234-Transferencias para INVERSIÓN</v>
      </c>
    </row>
    <row r="81" spans="1:46" x14ac:dyDescent="0.3">
      <c r="A81" s="952">
        <v>423401</v>
      </c>
      <c r="B81" s="916" t="s">
        <v>1503</v>
      </c>
      <c r="C81" s="1353">
        <v>12018</v>
      </c>
      <c r="D81" s="906">
        <f t="shared" si="11"/>
        <v>1.2018000000000001E-6</v>
      </c>
      <c r="E81" s="1353">
        <v>12018</v>
      </c>
      <c r="F81" s="906">
        <f t="shared" si="12"/>
        <v>1.0015000000000001E-6</v>
      </c>
      <c r="G81" s="907">
        <f t="shared" si="7"/>
        <v>0</v>
      </c>
      <c r="H81" s="906">
        <f t="shared" si="8"/>
        <v>0</v>
      </c>
      <c r="I81" s="1356"/>
      <c r="J81" s="1353">
        <v>12018</v>
      </c>
      <c r="K81" s="1353"/>
      <c r="L81" s="1353"/>
      <c r="M81" s="907">
        <f t="shared" si="9"/>
        <v>12018</v>
      </c>
      <c r="N81" s="1353">
        <v>12018</v>
      </c>
      <c r="O81" s="906">
        <f t="shared" si="13"/>
        <v>1</v>
      </c>
      <c r="P81" s="1353">
        <v>12018</v>
      </c>
      <c r="Q81" s="906">
        <f t="shared" si="14"/>
        <v>1</v>
      </c>
      <c r="R81" s="1101"/>
      <c r="S81" s="1358"/>
      <c r="AT81" s="296" t="str">
        <f t="shared" si="10"/>
        <v>423401-Transferencia Distrital</v>
      </c>
    </row>
    <row r="82" spans="1:46" s="770" customFormat="1" x14ac:dyDescent="0.3">
      <c r="A82" s="953">
        <v>44</v>
      </c>
      <c r="B82" s="794" t="s">
        <v>1507</v>
      </c>
      <c r="C82" s="1352">
        <v>12019</v>
      </c>
      <c r="D82" s="902">
        <f t="shared" si="11"/>
        <v>1.2019000000000001E-6</v>
      </c>
      <c r="E82" s="1352">
        <v>12019</v>
      </c>
      <c r="F82" s="902">
        <f t="shared" si="12"/>
        <v>1.0015833333333334E-6</v>
      </c>
      <c r="G82" s="903">
        <f t="shared" si="7"/>
        <v>0</v>
      </c>
      <c r="H82" s="902">
        <f t="shared" si="8"/>
        <v>0</v>
      </c>
      <c r="I82" s="1355"/>
      <c r="J82" s="1352">
        <v>12019</v>
      </c>
      <c r="K82" s="1352"/>
      <c r="L82" s="1352"/>
      <c r="M82" s="903">
        <f t="shared" si="9"/>
        <v>12019</v>
      </c>
      <c r="N82" s="1352">
        <v>12019</v>
      </c>
      <c r="O82" s="902">
        <f t="shared" si="13"/>
        <v>1</v>
      </c>
      <c r="P82" s="1352">
        <v>12019</v>
      </c>
      <c r="Q82" s="902">
        <f t="shared" si="14"/>
        <v>1</v>
      </c>
      <c r="R82" s="1283"/>
      <c r="S82" s="1357"/>
      <c r="AT82" s="764" t="str">
        <f t="shared" si="10"/>
        <v>44-DISPONIBILIDAD FINAL</v>
      </c>
    </row>
    <row r="83" spans="1:46" ht="14.4" thickBot="1" x14ac:dyDescent="0.35">
      <c r="A83" s="952">
        <v>0</v>
      </c>
      <c r="B83" s="916">
        <v>0</v>
      </c>
      <c r="C83" s="1354">
        <v>12019</v>
      </c>
      <c r="D83" s="911">
        <f t="shared" si="11"/>
        <v>1.2019000000000001E-6</v>
      </c>
      <c r="E83" s="1354">
        <v>12000</v>
      </c>
      <c r="F83" s="911">
        <f t="shared" si="12"/>
        <v>9.9999999999999995E-7</v>
      </c>
      <c r="G83" s="912">
        <f t="shared" si="7"/>
        <v>-19</v>
      </c>
      <c r="H83" s="911">
        <f t="shared" si="8"/>
        <v>-1.5833333333333333E-3</v>
      </c>
      <c r="I83" s="1363"/>
      <c r="J83" s="1354">
        <v>12000</v>
      </c>
      <c r="K83" s="1354"/>
      <c r="L83" s="1354"/>
      <c r="M83" s="912">
        <f t="shared" si="9"/>
        <v>12000</v>
      </c>
      <c r="N83" s="1354">
        <v>12000</v>
      </c>
      <c r="O83" s="911">
        <f t="shared" si="13"/>
        <v>1</v>
      </c>
      <c r="P83" s="1354">
        <v>12000</v>
      </c>
      <c r="Q83" s="911">
        <f t="shared" si="14"/>
        <v>1</v>
      </c>
      <c r="R83" s="1101"/>
      <c r="S83" s="1360"/>
      <c r="AT83" s="296" t="str">
        <f>CONCATENATE(A83,"-",B83)</f>
        <v>0-0</v>
      </c>
    </row>
    <row r="84" spans="1:46" ht="15" customHeight="1" x14ac:dyDescent="0.3">
      <c r="A84" s="2134" t="s">
        <v>1591</v>
      </c>
      <c r="B84" s="2135"/>
      <c r="C84" s="2109" t="s">
        <v>1560</v>
      </c>
      <c r="D84" s="2109"/>
      <c r="E84" s="2109"/>
      <c r="F84" s="2109"/>
      <c r="G84" s="2109"/>
      <c r="H84" s="2109"/>
      <c r="I84" s="2109"/>
      <c r="J84" s="2111" t="s">
        <v>1561</v>
      </c>
      <c r="K84" s="2109"/>
      <c r="L84" s="2109"/>
      <c r="M84" s="2109"/>
      <c r="N84" s="2109"/>
      <c r="O84" s="2109"/>
      <c r="P84" s="2109"/>
      <c r="Q84" s="2109"/>
      <c r="R84" s="2136"/>
      <c r="S84" s="897"/>
      <c r="AT84" s="296"/>
    </row>
    <row r="85" spans="1:46" ht="45" customHeight="1" thickBot="1" x14ac:dyDescent="0.35">
      <c r="A85" s="2107"/>
      <c r="B85" s="2108"/>
      <c r="C85" s="2110"/>
      <c r="D85" s="2110"/>
      <c r="E85" s="2110"/>
      <c r="F85" s="2110"/>
      <c r="G85" s="2110"/>
      <c r="H85" s="2110"/>
      <c r="I85" s="2110"/>
      <c r="J85" s="2112"/>
      <c r="K85" s="2110"/>
      <c r="L85" s="2110"/>
      <c r="M85" s="2110"/>
      <c r="N85" s="2110"/>
      <c r="O85" s="2110"/>
      <c r="P85" s="2110"/>
      <c r="Q85" s="2110"/>
      <c r="R85" s="2110"/>
      <c r="S85" s="898" t="s">
        <v>1562</v>
      </c>
    </row>
    <row r="86" spans="1:46" ht="24" customHeight="1" x14ac:dyDescent="0.3">
      <c r="A86" s="2113" t="s">
        <v>1592</v>
      </c>
      <c r="B86" s="2102" t="s">
        <v>1593</v>
      </c>
      <c r="C86" s="2113" t="s">
        <v>1581</v>
      </c>
      <c r="D86" s="2115" t="s">
        <v>1582</v>
      </c>
      <c r="E86" s="2115" t="s">
        <v>1583</v>
      </c>
      <c r="F86" s="2115" t="s">
        <v>1584</v>
      </c>
      <c r="G86" s="2115" t="s">
        <v>1568</v>
      </c>
      <c r="H86" s="2115" t="s">
        <v>1569</v>
      </c>
      <c r="I86" s="2102" t="s">
        <v>1570</v>
      </c>
      <c r="J86" s="2113" t="s">
        <v>1571</v>
      </c>
      <c r="K86" s="2115" t="s">
        <v>1572</v>
      </c>
      <c r="L86" s="2115"/>
      <c r="M86" s="2115" t="s">
        <v>1585</v>
      </c>
      <c r="N86" s="2115" t="s">
        <v>1586</v>
      </c>
      <c r="O86" s="2115" t="s">
        <v>1587</v>
      </c>
      <c r="P86" s="2115" t="s">
        <v>1588</v>
      </c>
      <c r="Q86" s="2115" t="s">
        <v>1589</v>
      </c>
      <c r="R86" s="2115" t="s">
        <v>1576</v>
      </c>
      <c r="S86" s="2102" t="s">
        <v>1590</v>
      </c>
    </row>
    <row r="87" spans="1:46" ht="45" customHeight="1" thickBot="1" x14ac:dyDescent="0.35">
      <c r="A87" s="2114"/>
      <c r="B87" s="2103"/>
      <c r="C87" s="2114"/>
      <c r="D87" s="2116"/>
      <c r="E87" s="2116"/>
      <c r="F87" s="2116"/>
      <c r="G87" s="2116"/>
      <c r="H87" s="2116"/>
      <c r="I87" s="2103"/>
      <c r="J87" s="2114"/>
      <c r="K87" s="899" t="s">
        <v>1578</v>
      </c>
      <c r="L87" s="899" t="s">
        <v>1579</v>
      </c>
      <c r="M87" s="2116"/>
      <c r="N87" s="2116"/>
      <c r="O87" s="2116"/>
      <c r="P87" s="2116"/>
      <c r="Q87" s="2116"/>
      <c r="R87" s="2116"/>
      <c r="S87" s="2103"/>
    </row>
    <row r="88" spans="1:46" s="770" customFormat="1" ht="18" customHeight="1" x14ac:dyDescent="0.3">
      <c r="A88" s="953">
        <v>45</v>
      </c>
      <c r="B88" s="917" t="s">
        <v>808</v>
      </c>
      <c r="C88" s="1352">
        <v>120000000</v>
      </c>
      <c r="D88" s="902">
        <f>IF(C88="","",C88/$C$88)</f>
        <v>1</v>
      </c>
      <c r="E88" s="1352">
        <v>120000</v>
      </c>
      <c r="F88" s="902">
        <f>IF(E88="","",E88/$E$88)</f>
        <v>1</v>
      </c>
      <c r="G88" s="903">
        <f t="shared" ref="G88:G96" si="15">IF(AND(C88="",E88=""),"",E88-C88)</f>
        <v>-119880000</v>
      </c>
      <c r="H88" s="902">
        <f t="shared" ref="H88:H95" si="16">IF(E88="",G88/C88,G88/E88)</f>
        <v>-999</v>
      </c>
      <c r="I88" s="1355"/>
      <c r="J88" s="1352">
        <v>12000000000</v>
      </c>
      <c r="K88" s="1352"/>
      <c r="L88" s="1352"/>
      <c r="M88" s="955">
        <f t="shared" ref="M88:M96" si="17">IF(J88="","",J88-K88+L88)</f>
        <v>12000000000</v>
      </c>
      <c r="N88" s="1352">
        <v>255555555</v>
      </c>
      <c r="O88" s="902">
        <f t="shared" ref="O88:O96" si="18">IF(OR(E88="",N88=""),"",N88/E88)</f>
        <v>2129.629625</v>
      </c>
      <c r="P88" s="1352">
        <v>12000</v>
      </c>
      <c r="Q88" s="902">
        <f t="shared" ref="Q88:Q96" si="19">IF(OR(E88="",P88=""),"",P88/E88)</f>
        <v>0.1</v>
      </c>
      <c r="R88" s="1283"/>
      <c r="S88" s="1355"/>
      <c r="AT88" s="764" t="str">
        <f t="shared" ref="AT88:AT96" si="20">CONCATENATE(A88,"-",B88)</f>
        <v>45-GASTOS DE COMERCIALIZACIÓN Y PRODUCCIÓN</v>
      </c>
    </row>
    <row r="89" spans="1:46" s="770" customFormat="1" ht="18" customHeight="1" x14ac:dyDescent="0.3">
      <c r="A89" s="953">
        <v>4501</v>
      </c>
      <c r="B89" s="917" t="s">
        <v>808</v>
      </c>
      <c r="C89" s="1352">
        <v>120000000</v>
      </c>
      <c r="D89" s="902">
        <f>IF(C89="","",C89/$C$88)</f>
        <v>1</v>
      </c>
      <c r="E89" s="1352">
        <v>12000</v>
      </c>
      <c r="F89" s="902">
        <f>IF(E89="","",E89/$E$88)</f>
        <v>0.1</v>
      </c>
      <c r="G89" s="903">
        <f t="shared" si="15"/>
        <v>-119988000</v>
      </c>
      <c r="H89" s="902">
        <f t="shared" si="16"/>
        <v>-9999</v>
      </c>
      <c r="I89" s="1355"/>
      <c r="J89" s="1352">
        <v>12000000000</v>
      </c>
      <c r="K89" s="1352"/>
      <c r="L89" s="1352"/>
      <c r="M89" s="955">
        <f t="shared" si="17"/>
        <v>12000000000</v>
      </c>
      <c r="N89" s="1352">
        <v>12000000000</v>
      </c>
      <c r="O89" s="902">
        <f t="shared" si="18"/>
        <v>1000000</v>
      </c>
      <c r="P89" s="1352">
        <v>12000</v>
      </c>
      <c r="Q89" s="902">
        <f t="shared" si="19"/>
        <v>1</v>
      </c>
      <c r="R89" s="1283"/>
      <c r="S89" s="1355"/>
      <c r="AT89" s="764" t="str">
        <f t="shared" si="20"/>
        <v>4501-GASTOS DE COMERCIALIZACIÓN Y PRODUCCIÓN</v>
      </c>
    </row>
    <row r="90" spans="1:46" ht="18" customHeight="1" x14ac:dyDescent="0.3">
      <c r="A90" s="952">
        <v>450101</v>
      </c>
      <c r="B90" s="954" t="s">
        <v>1637</v>
      </c>
      <c r="C90" s="1353">
        <v>120000000</v>
      </c>
      <c r="D90" s="906">
        <f>IF(C90="","",C90/$C$88)</f>
        <v>1</v>
      </c>
      <c r="E90" s="1353">
        <v>12000</v>
      </c>
      <c r="F90" s="906">
        <f>IF(E90="","",E90/$E$88)</f>
        <v>0.1</v>
      </c>
      <c r="G90" s="907">
        <f t="shared" si="15"/>
        <v>-119988000</v>
      </c>
      <c r="H90" s="906">
        <f t="shared" si="16"/>
        <v>-9999</v>
      </c>
      <c r="I90" s="1356"/>
      <c r="J90" s="1353">
        <v>12000000000</v>
      </c>
      <c r="K90" s="1353"/>
      <c r="L90" s="1353"/>
      <c r="M90" s="956">
        <f t="shared" si="17"/>
        <v>12000000000</v>
      </c>
      <c r="N90" s="1353">
        <v>12000000000</v>
      </c>
      <c r="O90" s="906">
        <f t="shared" si="18"/>
        <v>1000000</v>
      </c>
      <c r="P90" s="1353">
        <v>12000</v>
      </c>
      <c r="Q90" s="906">
        <f t="shared" si="19"/>
        <v>1</v>
      </c>
      <c r="R90" s="1584"/>
      <c r="S90" s="1356"/>
      <c r="AT90" s="1274" t="str">
        <f t="shared" si="20"/>
        <v>450101-Materiales y suministros</v>
      </c>
    </row>
    <row r="91" spans="1:46" ht="18" customHeight="1" x14ac:dyDescent="0.3">
      <c r="A91" s="1591">
        <v>0</v>
      </c>
      <c r="B91" s="954" t="s">
        <v>811</v>
      </c>
      <c r="C91" s="1353">
        <v>1201800</v>
      </c>
      <c r="D91" s="906">
        <f t="shared" ref="D91:D96" si="21">IF(C91="","",C91/C91)</f>
        <v>1</v>
      </c>
      <c r="E91" s="1353">
        <v>1500000</v>
      </c>
      <c r="F91" s="906">
        <f t="shared" ref="F91:F96" si="22">IF(E91="","",E91/E91)</f>
        <v>1</v>
      </c>
      <c r="G91" s="907">
        <f t="shared" si="15"/>
        <v>298200</v>
      </c>
      <c r="H91" s="906">
        <f t="shared" si="16"/>
        <v>0.1988</v>
      </c>
      <c r="I91" s="1356"/>
      <c r="J91" s="1353">
        <v>5000000000</v>
      </c>
      <c r="K91" s="1353"/>
      <c r="L91" s="1353"/>
      <c r="M91" s="956">
        <f>IF(J91="","",J91-K91+L91)</f>
        <v>5000000000</v>
      </c>
      <c r="N91" s="1353">
        <v>120000000</v>
      </c>
      <c r="O91" s="906">
        <f t="shared" si="18"/>
        <v>80</v>
      </c>
      <c r="P91" s="1353">
        <v>12000</v>
      </c>
      <c r="Q91" s="906">
        <f t="shared" si="19"/>
        <v>8.0000000000000002E-3</v>
      </c>
      <c r="R91" s="1584"/>
      <c r="S91" s="1356"/>
      <c r="AT91" s="1274" t="str">
        <f t="shared" si="20"/>
        <v>0-RESERVAS PRESUPUESTALES CONSTITUIDAS</v>
      </c>
    </row>
    <row r="92" spans="1:46" ht="18" customHeight="1" x14ac:dyDescent="0.3">
      <c r="A92" s="1591">
        <v>0</v>
      </c>
      <c r="B92" s="954" t="s">
        <v>812</v>
      </c>
      <c r="C92" s="1353">
        <v>1201800</v>
      </c>
      <c r="D92" s="906">
        <f t="shared" si="21"/>
        <v>1</v>
      </c>
      <c r="E92" s="1353">
        <v>1500000</v>
      </c>
      <c r="F92" s="906">
        <f t="shared" si="22"/>
        <v>1</v>
      </c>
      <c r="G92" s="907">
        <f t="shared" si="15"/>
        <v>298200</v>
      </c>
      <c r="H92" s="906">
        <f t="shared" si="16"/>
        <v>0.1988</v>
      </c>
      <c r="I92" s="1356"/>
      <c r="J92" s="1353">
        <v>300000000</v>
      </c>
      <c r="K92" s="1353"/>
      <c r="L92" s="1353"/>
      <c r="M92" s="956">
        <f t="shared" si="17"/>
        <v>300000000</v>
      </c>
      <c r="N92" s="1353">
        <v>120000000</v>
      </c>
      <c r="O92" s="906">
        <f t="shared" si="18"/>
        <v>80</v>
      </c>
      <c r="P92" s="1353">
        <v>12001</v>
      </c>
      <c r="Q92" s="906">
        <f t="shared" si="19"/>
        <v>8.0006666666666663E-3</v>
      </c>
      <c r="R92" s="1584"/>
      <c r="S92" s="1356"/>
      <c r="AT92" s="1274" t="str">
        <f t="shared" si="20"/>
        <v>0-CUENTAS POR PAGAR</v>
      </c>
    </row>
    <row r="93" spans="1:46" ht="18" customHeight="1" x14ac:dyDescent="0.3">
      <c r="A93" s="1591">
        <v>0</v>
      </c>
      <c r="B93" s="954" t="s">
        <v>813</v>
      </c>
      <c r="C93" s="1353">
        <v>150000000</v>
      </c>
      <c r="D93" s="906">
        <f t="shared" si="21"/>
        <v>1</v>
      </c>
      <c r="E93" s="1353">
        <v>1500000</v>
      </c>
      <c r="F93" s="906">
        <f t="shared" si="22"/>
        <v>1</v>
      </c>
      <c r="G93" s="907">
        <f t="shared" si="15"/>
        <v>-148500000</v>
      </c>
      <c r="H93" s="906">
        <f t="shared" si="16"/>
        <v>-99</v>
      </c>
      <c r="I93" s="1356"/>
      <c r="J93" s="1353">
        <v>800000000</v>
      </c>
      <c r="K93" s="1353"/>
      <c r="L93" s="1353"/>
      <c r="M93" s="956">
        <f t="shared" si="17"/>
        <v>800000000</v>
      </c>
      <c r="N93" s="1353">
        <v>120000000</v>
      </c>
      <c r="O93" s="906">
        <f t="shared" si="18"/>
        <v>80</v>
      </c>
      <c r="P93" s="1353">
        <v>12001</v>
      </c>
      <c r="Q93" s="906">
        <f t="shared" si="19"/>
        <v>8.0006666666666663E-3</v>
      </c>
      <c r="R93" s="1584"/>
      <c r="S93" s="1356"/>
      <c r="AT93" s="1274" t="str">
        <f t="shared" si="20"/>
        <v>0-OBLIGACIONES POR PAGAR</v>
      </c>
    </row>
    <row r="94" spans="1:46" ht="18" customHeight="1" x14ac:dyDescent="0.3">
      <c r="A94" s="1591">
        <v>0</v>
      </c>
      <c r="B94" s="954" t="s">
        <v>520</v>
      </c>
      <c r="C94" s="1353">
        <v>1201800</v>
      </c>
      <c r="D94" s="906">
        <f t="shared" si="21"/>
        <v>1</v>
      </c>
      <c r="E94" s="1353">
        <v>1500000</v>
      </c>
      <c r="F94" s="906">
        <f t="shared" si="22"/>
        <v>1</v>
      </c>
      <c r="G94" s="907">
        <f t="shared" si="15"/>
        <v>298200</v>
      </c>
      <c r="H94" s="906">
        <f t="shared" si="16"/>
        <v>0.1988</v>
      </c>
      <c r="I94" s="1356"/>
      <c r="J94" s="1353">
        <v>9000000000</v>
      </c>
      <c r="K94" s="1353"/>
      <c r="L94" s="1353"/>
      <c r="M94" s="956">
        <f t="shared" si="17"/>
        <v>9000000000</v>
      </c>
      <c r="N94" s="1353">
        <v>120000000</v>
      </c>
      <c r="O94" s="906">
        <f t="shared" si="18"/>
        <v>80</v>
      </c>
      <c r="P94" s="1353">
        <v>12002</v>
      </c>
      <c r="Q94" s="906">
        <f t="shared" si="19"/>
        <v>8.0013333333333325E-3</v>
      </c>
      <c r="R94" s="1584"/>
      <c r="S94" s="1356"/>
      <c r="AT94" s="1274" t="str">
        <f t="shared" si="20"/>
        <v>0-PASIVOS EXIGIBLES</v>
      </c>
    </row>
    <row r="95" spans="1:46" ht="18" customHeight="1" x14ac:dyDescent="0.3">
      <c r="A95" s="1591">
        <v>0</v>
      </c>
      <c r="B95" s="954" t="s">
        <v>527</v>
      </c>
      <c r="C95" s="1353">
        <v>520000</v>
      </c>
      <c r="D95" s="906">
        <f t="shared" si="21"/>
        <v>1</v>
      </c>
      <c r="E95" s="1353">
        <v>1500000</v>
      </c>
      <c r="F95" s="906">
        <f t="shared" si="22"/>
        <v>1</v>
      </c>
      <c r="G95" s="907">
        <f t="shared" si="15"/>
        <v>980000</v>
      </c>
      <c r="H95" s="906">
        <f t="shared" si="16"/>
        <v>0.65333333333333332</v>
      </c>
      <c r="I95" s="1356"/>
      <c r="J95" s="1353">
        <v>600000000</v>
      </c>
      <c r="K95" s="1353"/>
      <c r="L95" s="1353"/>
      <c r="M95" s="956">
        <f t="shared" si="17"/>
        <v>600000000</v>
      </c>
      <c r="N95" s="1353">
        <v>120000000</v>
      </c>
      <c r="O95" s="906">
        <f t="shared" si="18"/>
        <v>80</v>
      </c>
      <c r="P95" s="1353">
        <v>12003</v>
      </c>
      <c r="Q95" s="906">
        <f t="shared" si="19"/>
        <v>8.0020000000000004E-3</v>
      </c>
      <c r="R95" s="1584"/>
      <c r="S95" s="1356"/>
      <c r="AT95" s="1274" t="str">
        <f t="shared" si="20"/>
        <v>0-VIGENCIAS FUTURAS</v>
      </c>
    </row>
    <row r="96" spans="1:46" ht="18" customHeight="1" x14ac:dyDescent="0.3">
      <c r="A96" s="1591"/>
      <c r="B96" s="954"/>
      <c r="C96" s="1353"/>
      <c r="D96" s="906" t="str">
        <f t="shared" si="21"/>
        <v/>
      </c>
      <c r="E96" s="1353"/>
      <c r="F96" s="906" t="str">
        <f t="shared" si="22"/>
        <v/>
      </c>
      <c r="G96" s="907" t="str">
        <f t="shared" si="15"/>
        <v/>
      </c>
      <c r="H96" s="906"/>
      <c r="I96" s="1356"/>
      <c r="J96" s="1353"/>
      <c r="K96" s="1353"/>
      <c r="L96" s="1353"/>
      <c r="M96" s="907" t="str">
        <f t="shared" si="17"/>
        <v/>
      </c>
      <c r="N96" s="1353"/>
      <c r="O96" s="906" t="str">
        <f t="shared" si="18"/>
        <v/>
      </c>
      <c r="P96" s="1353"/>
      <c r="Q96" s="906" t="str">
        <f t="shared" si="19"/>
        <v/>
      </c>
      <c r="R96" s="1584"/>
      <c r="S96" s="1356"/>
      <c r="AT96" s="1274" t="str">
        <f t="shared" si="20"/>
        <v>-</v>
      </c>
    </row>
    <row r="97" spans="1:46" ht="24" customHeight="1" x14ac:dyDescent="0.3">
      <c r="A97" s="2137" t="s">
        <v>1594</v>
      </c>
      <c r="B97" s="2137"/>
      <c r="C97" s="2138" t="s">
        <v>1595</v>
      </c>
      <c r="D97" s="2139"/>
      <c r="E97" s="2139"/>
      <c r="F97" s="2140"/>
      <c r="G97" s="1633"/>
      <c r="H97" s="1633"/>
      <c r="I97" s="1633"/>
      <c r="J97" s="1633"/>
      <c r="K97" s="1633"/>
      <c r="L97" s="1633"/>
      <c r="M97" s="1633"/>
      <c r="N97" s="1633"/>
      <c r="O97" s="1633"/>
      <c r="P97" s="1633"/>
      <c r="Q97" s="1633"/>
      <c r="R97" s="1633"/>
      <c r="S97" s="1633"/>
      <c r="AT97" s="296"/>
    </row>
    <row r="98" spans="1:46" ht="32.25" customHeight="1" x14ac:dyDescent="0.3">
      <c r="A98" s="2137"/>
      <c r="B98" s="2137"/>
      <c r="C98" s="2141"/>
      <c r="D98" s="2142"/>
      <c r="E98" s="2142"/>
      <c r="F98" s="2143"/>
      <c r="G98" s="1633"/>
      <c r="H98" s="1633"/>
      <c r="I98" s="1633"/>
      <c r="J98" s="1633"/>
      <c r="K98" s="1633"/>
      <c r="L98" s="1633"/>
      <c r="M98" s="1633"/>
      <c r="N98" s="1633"/>
      <c r="O98" s="1633"/>
      <c r="P98" s="1633"/>
      <c r="Q98" s="1633"/>
      <c r="R98" s="1633"/>
      <c r="S98" s="1633"/>
      <c r="AT98" s="296"/>
    </row>
    <row r="99" spans="1:46" x14ac:dyDescent="0.3">
      <c r="A99" s="918"/>
      <c r="B99" s="918"/>
      <c r="C99" s="919"/>
      <c r="D99" s="919"/>
      <c r="E99" s="919"/>
      <c r="F99" s="919"/>
      <c r="G99" s="919"/>
      <c r="H99" s="919"/>
      <c r="I99" s="919"/>
      <c r="J99" s="919"/>
      <c r="K99" s="919"/>
      <c r="L99" s="919"/>
      <c r="M99" s="919"/>
      <c r="N99" s="919"/>
      <c r="O99" s="919"/>
      <c r="P99" s="919"/>
      <c r="Q99" s="919"/>
      <c r="R99" s="919"/>
      <c r="S99" s="919"/>
      <c r="AT99" s="296" t="str">
        <f>CONCATENATE(A96,"-",B96)</f>
        <v>-</v>
      </c>
    </row>
    <row r="100" spans="1:46" ht="14.4" thickBot="1" x14ac:dyDescent="0.35">
      <c r="A100" s="271"/>
      <c r="C100" s="271"/>
      <c r="D100" s="271"/>
      <c r="E100" s="271"/>
      <c r="F100" s="271"/>
      <c r="G100" s="619"/>
      <c r="H100" s="619"/>
      <c r="I100" s="619"/>
      <c r="J100" s="619"/>
      <c r="K100" s="619"/>
      <c r="L100" s="619"/>
      <c r="M100" s="619"/>
      <c r="N100" s="619"/>
      <c r="O100" s="619"/>
      <c r="P100" s="619"/>
      <c r="Q100" s="619"/>
      <c r="R100" s="619"/>
    </row>
    <row r="101" spans="1:46" ht="71.25" customHeight="1" x14ac:dyDescent="0.3">
      <c r="A101" s="2146" t="s">
        <v>672</v>
      </c>
      <c r="B101" s="2148"/>
      <c r="C101" s="2148"/>
      <c r="D101" s="2149"/>
      <c r="E101" s="271"/>
      <c r="F101" s="271"/>
      <c r="G101" s="772"/>
      <c r="H101" s="772"/>
      <c r="I101" s="772"/>
      <c r="J101" s="772"/>
      <c r="K101" s="772"/>
      <c r="L101" s="772"/>
      <c r="M101" s="772"/>
      <c r="N101" s="772"/>
      <c r="O101" s="772"/>
      <c r="P101" s="772"/>
      <c r="Q101" s="772"/>
      <c r="R101" s="724"/>
    </row>
    <row r="102" spans="1:46" ht="88.5" customHeight="1" thickBot="1" x14ac:dyDescent="0.35">
      <c r="A102" s="2147"/>
      <c r="B102" s="2150"/>
      <c r="C102" s="2150"/>
      <c r="D102" s="2151"/>
      <c r="E102" s="271"/>
      <c r="F102" s="271"/>
      <c r="G102" s="772"/>
      <c r="H102" s="772"/>
      <c r="I102" s="772"/>
      <c r="J102" s="772"/>
      <c r="K102" s="772"/>
      <c r="L102" s="772"/>
      <c r="M102" s="772"/>
      <c r="N102" s="772"/>
      <c r="O102" s="772"/>
      <c r="P102" s="772"/>
      <c r="Q102" s="772"/>
      <c r="R102" s="724"/>
    </row>
    <row r="103" spans="1:46" ht="14.4" thickBot="1" x14ac:dyDescent="0.35">
      <c r="A103" s="620"/>
      <c r="B103" s="726" t="s">
        <v>842</v>
      </c>
      <c r="C103" s="726" t="s">
        <v>1333</v>
      </c>
      <c r="D103" s="620"/>
    </row>
    <row r="104" spans="1:46" ht="33" customHeight="1" x14ac:dyDescent="0.3">
      <c r="A104" s="2144" t="s">
        <v>673</v>
      </c>
      <c r="B104" s="1365"/>
      <c r="C104" s="1366"/>
      <c r="D104" s="620"/>
      <c r="E104" s="920"/>
    </row>
    <row r="105" spans="1:46" ht="33" customHeight="1" x14ac:dyDescent="0.3">
      <c r="A105" s="2145"/>
      <c r="B105" s="1367"/>
      <c r="C105" s="1368"/>
      <c r="D105" s="620"/>
      <c r="E105" s="920"/>
    </row>
    <row r="106" spans="1:46" ht="34.5" customHeight="1" thickBot="1" x14ac:dyDescent="0.35">
      <c r="A106" s="2145"/>
      <c r="B106" s="1369"/>
      <c r="C106" s="1370"/>
      <c r="D106" s="620"/>
    </row>
    <row r="107" spans="1:46" ht="34.5" customHeight="1" x14ac:dyDescent="0.3">
      <c r="A107" s="1824" t="s">
        <v>1334</v>
      </c>
      <c r="B107" s="1371"/>
      <c r="C107" s="1366"/>
      <c r="D107" s="620"/>
    </row>
    <row r="108" spans="1:46" ht="34.5" customHeight="1" x14ac:dyDescent="0.3">
      <c r="A108" s="1825"/>
      <c r="B108" s="1372"/>
      <c r="C108" s="1368"/>
      <c r="D108" s="620"/>
    </row>
    <row r="109" spans="1:46" ht="34.5" customHeight="1" thickBot="1" x14ac:dyDescent="0.35">
      <c r="A109" s="1826"/>
      <c r="B109" s="1373"/>
      <c r="C109" s="1374"/>
      <c r="D109" s="620"/>
    </row>
    <row r="110" spans="1:46" ht="96" customHeight="1" thickBot="1" x14ac:dyDescent="0.35">
      <c r="A110" s="1375" t="s">
        <v>1335</v>
      </c>
      <c r="B110" s="1376"/>
      <c r="C110" s="1377"/>
      <c r="D110" s="620"/>
    </row>
    <row r="111" spans="1:46" ht="34.5" customHeight="1" thickBot="1" x14ac:dyDescent="0.35">
      <c r="A111" s="1378" t="s">
        <v>674</v>
      </c>
      <c r="B111" s="1379"/>
      <c r="C111" s="1380"/>
      <c r="D111" s="620"/>
    </row>
    <row r="112" spans="1:46" x14ac:dyDescent="0.3">
      <c r="A112" s="722"/>
      <c r="B112" s="721"/>
    </row>
    <row r="113" spans="1:5" ht="36" customHeight="1" x14ac:dyDescent="0.3">
      <c r="A113" s="1974" t="s">
        <v>1596</v>
      </c>
      <c r="B113" s="1974"/>
      <c r="C113" s="1974"/>
      <c r="D113" s="1974"/>
      <c r="E113" s="1974"/>
    </row>
    <row r="114" spans="1:5" x14ac:dyDescent="0.3">
      <c r="A114" s="619" t="s">
        <v>1597</v>
      </c>
      <c r="B114" s="619"/>
      <c r="C114" s="619"/>
      <c r="D114" s="619"/>
    </row>
    <row r="115" spans="1:5" x14ac:dyDescent="0.3">
      <c r="A115" s="619" t="s">
        <v>1598</v>
      </c>
      <c r="B115" s="619"/>
      <c r="C115" s="619"/>
      <c r="D115" s="619"/>
    </row>
    <row r="116" spans="1:5" ht="15.75" customHeight="1" x14ac:dyDescent="0.3">
      <c r="A116" s="294" t="s">
        <v>1599</v>
      </c>
    </row>
  </sheetData>
  <sheetProtection algorithmName="SHA-512" hashValue="dNONuw9X9SW5lhTCOoVYZitKQUnX/PrwJLg5FwUGgy6gTj+iyLex1OnRmWN7fGz9VyBDqJtoc7Jqgdql1MbHeQ==" saltValue="vudU5mfkhDdCslVfwrQ3uA==" spinCount="100000" sheet="1" objects="1" scenarios="1"/>
  <mergeCells count="115">
    <mergeCell ref="A104:A106"/>
    <mergeCell ref="A107:A109"/>
    <mergeCell ref="A113:E113"/>
    <mergeCell ref="M97:N98"/>
    <mergeCell ref="O97:P98"/>
    <mergeCell ref="Q97:R98"/>
    <mergeCell ref="S97:S98"/>
    <mergeCell ref="A101:A102"/>
    <mergeCell ref="B101:D102"/>
    <mergeCell ref="Q86:Q87"/>
    <mergeCell ref="R86:R87"/>
    <mergeCell ref="S86:S87"/>
    <mergeCell ref="A97:B98"/>
    <mergeCell ref="C97:F98"/>
    <mergeCell ref="G97:H98"/>
    <mergeCell ref="I97:J98"/>
    <mergeCell ref="K97:L98"/>
    <mergeCell ref="H86:H87"/>
    <mergeCell ref="I86:I87"/>
    <mergeCell ref="J86:J87"/>
    <mergeCell ref="K86:L86"/>
    <mergeCell ref="M86:M87"/>
    <mergeCell ref="N86:N87"/>
    <mergeCell ref="A86:A87"/>
    <mergeCell ref="B86:B87"/>
    <mergeCell ref="C86:C87"/>
    <mergeCell ref="D86:D87"/>
    <mergeCell ref="E86:E87"/>
    <mergeCell ref="F86:F87"/>
    <mergeCell ref="G86:G87"/>
    <mergeCell ref="O86:O87"/>
    <mergeCell ref="P86:P87"/>
    <mergeCell ref="S47:S48"/>
    <mergeCell ref="G47:G48"/>
    <mergeCell ref="H47:H48"/>
    <mergeCell ref="I47:I48"/>
    <mergeCell ref="J47:J48"/>
    <mergeCell ref="K47:L47"/>
    <mergeCell ref="M47:M48"/>
    <mergeCell ref="A84:B85"/>
    <mergeCell ref="C84:I85"/>
    <mergeCell ref="J84:R85"/>
    <mergeCell ref="O44:Q44"/>
    <mergeCell ref="A45:B46"/>
    <mergeCell ref="C45:I46"/>
    <mergeCell ref="J45:R46"/>
    <mergeCell ref="A47:A48"/>
    <mergeCell ref="B47:B48"/>
    <mergeCell ref="C47:C48"/>
    <mergeCell ref="D47:D48"/>
    <mergeCell ref="E47:E48"/>
    <mergeCell ref="F47:F48"/>
    <mergeCell ref="N47:N48"/>
    <mergeCell ref="O47:O48"/>
    <mergeCell ref="P47:P48"/>
    <mergeCell ref="Q47:Q48"/>
    <mergeCell ref="R47:R48"/>
    <mergeCell ref="O38:Q38"/>
    <mergeCell ref="O39:Q39"/>
    <mergeCell ref="O40:Q40"/>
    <mergeCell ref="O41:Q41"/>
    <mergeCell ref="O42:Q42"/>
    <mergeCell ref="O43:Q43"/>
    <mergeCell ref="O32:Q32"/>
    <mergeCell ref="O33:Q33"/>
    <mergeCell ref="O34:Q34"/>
    <mergeCell ref="O35:Q35"/>
    <mergeCell ref="O36:Q36"/>
    <mergeCell ref="O37:Q37"/>
    <mergeCell ref="O26:Q26"/>
    <mergeCell ref="O27:Q27"/>
    <mergeCell ref="O28:Q28"/>
    <mergeCell ref="O29:Q29"/>
    <mergeCell ref="O30:Q30"/>
    <mergeCell ref="O31:Q31"/>
    <mergeCell ref="O20:Q20"/>
    <mergeCell ref="O21:Q21"/>
    <mergeCell ref="O22:Q22"/>
    <mergeCell ref="O23:Q23"/>
    <mergeCell ref="O24:Q24"/>
    <mergeCell ref="O25:Q25"/>
    <mergeCell ref="A17:S17"/>
    <mergeCell ref="O18:Q18"/>
    <mergeCell ref="O19:Q19"/>
    <mergeCell ref="H15:H16"/>
    <mergeCell ref="I15:I16"/>
    <mergeCell ref="J15:J16"/>
    <mergeCell ref="K15:L15"/>
    <mergeCell ref="M15:M16"/>
    <mergeCell ref="N15:N16"/>
    <mergeCell ref="R15:R16"/>
    <mergeCell ref="S1:S2"/>
    <mergeCell ref="B7:C7"/>
    <mergeCell ref="B8:C8"/>
    <mergeCell ref="F8:G8"/>
    <mergeCell ref="B9:C9"/>
    <mergeCell ref="F9:G9"/>
    <mergeCell ref="A4:G4"/>
    <mergeCell ref="A5:G5"/>
    <mergeCell ref="S15:S16"/>
    <mergeCell ref="B1:R2"/>
    <mergeCell ref="B10:C10"/>
    <mergeCell ref="F10:G10"/>
    <mergeCell ref="A1:A2"/>
    <mergeCell ref="A13:B14"/>
    <mergeCell ref="C13:I14"/>
    <mergeCell ref="J13:R14"/>
    <mergeCell ref="A15:A16"/>
    <mergeCell ref="B15:B16"/>
    <mergeCell ref="C15:C16"/>
    <mergeCell ref="D15:D16"/>
    <mergeCell ref="E15:E16"/>
    <mergeCell ref="F15:F16"/>
    <mergeCell ref="G15:G16"/>
    <mergeCell ref="O15:Q16"/>
  </mergeCells>
  <conditionalFormatting sqref="B1">
    <cfRule type="cellIs" dxfId="134" priority="1" operator="equal">
      <formula>"ERROR"</formula>
    </cfRule>
  </conditionalFormatting>
  <dataValidations count="1">
    <dataValidation type="list" allowBlank="1" showInputMessage="1" showErrorMessage="1" sqref="R97:R99">
      <formula1>#REF!</formula1>
    </dataValidation>
  </dataValidations>
  <pageMargins left="0.7" right="0.7" top="0.75" bottom="0.75" header="0.3" footer="0.3"/>
  <ignoredErrors>
    <ignoredError sqref="G10 G8 G9" unlockedFormula="1"/>
  </ignoredErrors>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'C:\Users\contrabog\Downloads\[PVCGF-04-06 Procesos presupuesto de ingresos y de gastos o costos y gastos (2).xlsx]LISTAS'!#REF!</xm:f>
          </x14:formula1>
          <xm:sqref>R44</xm:sqref>
        </x14:dataValidation>
        <x14:dataValidation type="list" allowBlank="1" showInputMessage="1" showErrorMessage="1">
          <x14:formula1>
            <xm:f>'LISTAS PPTO'!$AF$81:$AF$82</xm:f>
          </x14:formula1>
          <xm:sqref>R18:R43 R49:R83 R88:R96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BI304"/>
  <sheetViews>
    <sheetView topLeftCell="A30" zoomScaleNormal="100" workbookViewId="0">
      <selection activeCell="E37" sqref="E37:F37"/>
    </sheetView>
  </sheetViews>
  <sheetFormatPr baseColWidth="10" defaultColWidth="11.44140625" defaultRowHeight="14.4" x14ac:dyDescent="0.3"/>
  <cols>
    <col min="1" max="1" width="30.44140625" style="410" customWidth="1"/>
    <col min="2" max="2" width="17.6640625" style="410" customWidth="1"/>
    <col min="3" max="3" width="30.5546875" style="410" customWidth="1"/>
    <col min="4" max="4" width="29.44140625" style="410" customWidth="1"/>
    <col min="5" max="5" width="27.44140625" style="971" customWidth="1"/>
    <col min="6" max="6" width="23.33203125" style="971" customWidth="1"/>
    <col min="7" max="7" width="12" style="971" customWidth="1"/>
    <col min="8" max="8" width="16.109375" style="971" customWidth="1"/>
    <col min="9" max="9" width="3.6640625" style="971" customWidth="1"/>
    <col min="10" max="10" width="18.44140625" style="971" customWidth="1"/>
    <col min="11" max="11" width="24.109375" style="971" customWidth="1"/>
    <col min="12" max="12" width="15.109375" style="410" customWidth="1"/>
    <col min="13" max="13" width="12.44140625" style="410" customWidth="1"/>
    <col min="14" max="15" width="11.44140625" style="410"/>
    <col min="16" max="16" width="16.44140625" style="410" customWidth="1"/>
    <col min="17" max="16384" width="11.44140625" style="410"/>
  </cols>
  <sheetData>
    <row r="2" spans="1:61" ht="26.25" customHeight="1" x14ac:dyDescent="0.3">
      <c r="A2" s="2153"/>
      <c r="B2" s="2155" t="s">
        <v>1685</v>
      </c>
      <c r="C2" s="2156"/>
      <c r="D2" s="2156"/>
      <c r="E2" s="2156"/>
      <c r="F2" s="2156"/>
      <c r="G2" s="2157"/>
      <c r="H2" s="2152" t="s">
        <v>1684</v>
      </c>
    </row>
    <row r="3" spans="1:61" ht="51.75" customHeight="1" x14ac:dyDescent="0.3">
      <c r="A3" s="2154"/>
      <c r="B3" s="2158"/>
      <c r="C3" s="2159"/>
      <c r="D3" s="2159"/>
      <c r="E3" s="2159"/>
      <c r="F3" s="2159"/>
      <c r="G3" s="2160"/>
      <c r="H3" s="2152"/>
    </row>
    <row r="6" spans="1:61" s="388" customFormat="1" ht="31.5" customHeight="1" x14ac:dyDescent="0.3">
      <c r="A6" s="2261"/>
      <c r="B6" s="2264" t="s">
        <v>1512</v>
      </c>
      <c r="C6" s="2264"/>
      <c r="D6" s="2264"/>
      <c r="E6" s="2264"/>
      <c r="F6" s="2264"/>
      <c r="G6" s="957"/>
      <c r="H6" s="957" t="s">
        <v>144</v>
      </c>
      <c r="I6" s="957"/>
      <c r="J6" s="957"/>
      <c r="K6" s="957"/>
    </row>
    <row r="7" spans="1:61" s="388" customFormat="1" ht="31.5" customHeight="1" x14ac:dyDescent="0.3">
      <c r="A7" s="2261"/>
      <c r="B7" s="2265" t="s">
        <v>770</v>
      </c>
      <c r="C7" s="2265"/>
      <c r="D7" s="2265"/>
      <c r="E7" s="2265"/>
      <c r="F7" s="2265"/>
      <c r="G7" s="958"/>
      <c r="H7" s="958"/>
      <c r="I7" s="957"/>
      <c r="J7" s="957"/>
      <c r="K7" s="957"/>
    </row>
    <row r="8" spans="1:61" s="388" customFormat="1" ht="27" customHeight="1" x14ac:dyDescent="0.3">
      <c r="B8" s="2266" t="s">
        <v>1615</v>
      </c>
      <c r="C8" s="2266"/>
      <c r="D8" s="2266"/>
      <c r="E8" s="2266"/>
      <c r="F8" s="2266"/>
      <c r="G8" s="957"/>
      <c r="H8" s="957"/>
      <c r="I8" s="957"/>
      <c r="J8" s="957"/>
      <c r="K8" s="957"/>
    </row>
    <row r="9" spans="1:61" s="391" customFormat="1" ht="12" customHeight="1" x14ac:dyDescent="0.3">
      <c r="A9" s="1381" t="s">
        <v>771</v>
      </c>
      <c r="B9" s="2262" t="str">
        <f>+FENECIMIENTO!D5</f>
        <v>204 - Instituto de Desarrollo Urbano – IDU</v>
      </c>
      <c r="C9" s="2262"/>
      <c r="D9" s="957"/>
      <c r="E9" s="1382" t="s">
        <v>772</v>
      </c>
      <c r="F9" s="1383">
        <f>+FENECIMIENTO!K5</f>
        <v>2024</v>
      </c>
      <c r="G9" s="959"/>
      <c r="H9" s="960"/>
      <c r="I9" s="960"/>
      <c r="J9" s="960"/>
      <c r="K9" s="390"/>
      <c r="L9" s="390"/>
      <c r="M9" s="390"/>
      <c r="N9" s="390"/>
      <c r="Q9" s="392"/>
      <c r="R9" s="390"/>
      <c r="S9" s="393"/>
      <c r="T9" s="393"/>
      <c r="U9" s="393"/>
      <c r="V9" s="393"/>
      <c r="W9"/>
      <c r="X9"/>
      <c r="Y9"/>
      <c r="Z9"/>
      <c r="AA9"/>
      <c r="AB9"/>
      <c r="AC9"/>
      <c r="AD9"/>
      <c r="AE9"/>
      <c r="AF9"/>
      <c r="AG9"/>
      <c r="AH9"/>
      <c r="AI9"/>
      <c r="AJ9"/>
      <c r="AK9"/>
      <c r="AL9"/>
      <c r="AM9"/>
      <c r="AN9"/>
      <c r="AO9"/>
      <c r="AP9"/>
      <c r="AQ9"/>
      <c r="AR9"/>
      <c r="AS9"/>
      <c r="AT9"/>
      <c r="AU9"/>
      <c r="AV9"/>
      <c r="AW9"/>
      <c r="AX9"/>
      <c r="AY9"/>
      <c r="AZ9"/>
      <c r="BA9"/>
      <c r="BB9"/>
      <c r="BC9"/>
      <c r="BD9"/>
      <c r="BE9"/>
      <c r="BF9"/>
      <c r="BG9"/>
      <c r="BH9" s="394" t="s">
        <v>773</v>
      </c>
      <c r="BI9" s="394" t="s">
        <v>157</v>
      </c>
    </row>
    <row r="10" spans="1:61" s="391" customFormat="1" ht="14.25" customHeight="1" x14ac:dyDescent="0.3">
      <c r="A10" s="1384" t="s">
        <v>774</v>
      </c>
      <c r="B10" s="2263">
        <f>+FENECIMIENTO!D7</f>
        <v>45693</v>
      </c>
      <c r="C10" s="2263"/>
      <c r="D10" s="957"/>
      <c r="E10" s="1382" t="s">
        <v>1682</v>
      </c>
      <c r="F10" s="1383">
        <f>+FENECIMIENTO!D6</f>
        <v>2025</v>
      </c>
      <c r="G10" s="959"/>
      <c r="H10" s="960"/>
      <c r="I10" s="960"/>
      <c r="J10" s="960"/>
      <c r="K10" s="395"/>
      <c r="L10" s="395"/>
      <c r="M10" s="395"/>
      <c r="N10" s="395"/>
      <c r="O10" s="390"/>
      <c r="P10" s="390"/>
      <c r="Q10" s="396"/>
      <c r="R10" s="390"/>
      <c r="S10" s="397"/>
      <c r="T10" s="397"/>
      <c r="U10" s="397"/>
      <c r="V10" s="397"/>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s="398" t="s">
        <v>775</v>
      </c>
      <c r="BI10" s="398" t="s">
        <v>776</v>
      </c>
    </row>
    <row r="11" spans="1:61" s="391" customFormat="1" ht="15" customHeight="1" x14ac:dyDescent="0.3">
      <c r="A11" s="1384" t="s">
        <v>5</v>
      </c>
      <c r="B11" s="2263">
        <f>+FENECIMIENTO!K7</f>
        <v>45693</v>
      </c>
      <c r="C11" s="2263"/>
      <c r="D11" s="957"/>
      <c r="E11" s="1385" t="s">
        <v>777</v>
      </c>
      <c r="F11" s="1590"/>
      <c r="G11" s="961"/>
      <c r="H11" s="961"/>
      <c r="I11" s="961"/>
      <c r="J11" s="961"/>
      <c r="K11" s="395"/>
      <c r="L11" s="395"/>
      <c r="M11" s="395"/>
      <c r="N11" s="395"/>
      <c r="O11" s="390"/>
      <c r="P11" s="390"/>
      <c r="Q11" s="396"/>
      <c r="R11" s="390"/>
      <c r="S11" s="397"/>
      <c r="T11" s="397"/>
      <c r="U11" s="397"/>
      <c r="V11" s="397"/>
      <c r="W11" s="397"/>
      <c r="X11" s="397"/>
      <c r="Y11" s="397"/>
      <c r="Z11" s="399"/>
      <c r="AA11" s="399"/>
      <c r="AB11" s="397"/>
      <c r="AC11" s="397"/>
      <c r="AD11" s="397"/>
      <c r="AE11" s="397"/>
      <c r="AF11" s="397"/>
      <c r="AG11" s="397"/>
      <c r="AH11" s="397"/>
      <c r="AI11" s="400"/>
      <c r="AJ11" s="401"/>
      <c r="AK11" s="389"/>
      <c r="AL11" s="389"/>
      <c r="AM11" s="389"/>
      <c r="AN11" s="389"/>
      <c r="AO11" s="389"/>
      <c r="AP11" s="389"/>
      <c r="AQ11" s="389"/>
      <c r="AR11" s="402"/>
      <c r="AT11" s="403"/>
      <c r="AU11" s="404"/>
      <c r="AV11" s="405"/>
      <c r="AW11" s="389"/>
      <c r="AX11" s="406"/>
      <c r="AY11" s="389"/>
      <c r="AZ11" s="389"/>
      <c r="BA11" s="389"/>
      <c r="BB11" s="389"/>
      <c r="BC11" s="389"/>
      <c r="BG11" s="407"/>
      <c r="BH11" s="408" t="s">
        <v>778</v>
      </c>
      <c r="BI11" s="408" t="s">
        <v>155</v>
      </c>
    </row>
    <row r="12" spans="1:61" x14ac:dyDescent="0.3">
      <c r="A12" s="409"/>
      <c r="B12" s="409"/>
      <c r="C12" s="388"/>
      <c r="D12" s="388"/>
      <c r="E12" s="962"/>
      <c r="F12" s="957"/>
      <c r="G12" s="957"/>
      <c r="H12" s="957"/>
      <c r="I12" s="957"/>
      <c r="J12" s="957"/>
      <c r="K12" s="957"/>
      <c r="L12" s="388"/>
      <c r="M12" s="388"/>
    </row>
    <row r="13" spans="1:61" x14ac:dyDescent="0.3">
      <c r="A13" s="1386"/>
      <c r="B13" s="1386"/>
      <c r="C13" s="1386"/>
      <c r="D13" s="1386"/>
      <c r="E13" s="1387"/>
      <c r="F13" s="1387"/>
      <c r="G13" s="963"/>
      <c r="H13" s="964"/>
      <c r="I13" s="964"/>
      <c r="J13" s="963"/>
      <c r="K13" s="963"/>
      <c r="L13" s="411"/>
      <c r="M13" s="411"/>
    </row>
    <row r="14" spans="1:61" ht="15.6" x14ac:dyDescent="0.3">
      <c r="A14" s="2247" t="s">
        <v>779</v>
      </c>
      <c r="B14" s="2248"/>
      <c r="C14" s="2248"/>
      <c r="D14" s="2248"/>
      <c r="E14" s="2248"/>
      <c r="F14" s="2249"/>
      <c r="G14" s="965"/>
      <c r="H14" s="966"/>
      <c r="I14" s="966"/>
      <c r="J14" s="966"/>
      <c r="K14" s="966"/>
      <c r="L14" s="412"/>
      <c r="M14" s="412"/>
    </row>
    <row r="15" spans="1:61" ht="51.75" customHeight="1" x14ac:dyDescent="0.3">
      <c r="A15" s="2188" t="s">
        <v>780</v>
      </c>
      <c r="B15" s="2189"/>
      <c r="C15" s="2189"/>
      <c r="D15" s="2189"/>
      <c r="E15" s="2189"/>
      <c r="F15" s="2190"/>
      <c r="G15" s="967"/>
      <c r="H15" s="968"/>
      <c r="I15" s="969"/>
      <c r="J15" s="969"/>
      <c r="K15" s="969"/>
      <c r="L15" s="414"/>
      <c r="M15" s="414"/>
    </row>
    <row r="16" spans="1:61" ht="12.75" customHeight="1" x14ac:dyDescent="0.3">
      <c r="A16" s="415"/>
      <c r="B16" s="415"/>
      <c r="C16" s="415"/>
      <c r="D16" s="415"/>
      <c r="E16" s="970"/>
      <c r="F16" s="970"/>
      <c r="G16" s="969"/>
      <c r="H16" s="969"/>
      <c r="I16" s="969"/>
    </row>
    <row r="17" spans="1:20" ht="15.6" x14ac:dyDescent="0.3">
      <c r="A17" s="415"/>
      <c r="B17" s="415"/>
      <c r="C17" s="415"/>
      <c r="D17" s="415"/>
      <c r="E17" s="970"/>
      <c r="F17" s="970"/>
      <c r="G17" s="969"/>
      <c r="H17" s="972"/>
      <c r="I17" s="969"/>
      <c r="J17" s="973"/>
      <c r="K17" s="974"/>
      <c r="L17" s="416"/>
      <c r="M17" s="417"/>
      <c r="N17" s="418"/>
      <c r="O17" s="419"/>
      <c r="P17" s="420"/>
      <c r="Q17" s="421"/>
      <c r="R17" s="420"/>
      <c r="S17" s="422"/>
      <c r="T17" s="418"/>
    </row>
    <row r="18" spans="1:20" ht="15" customHeight="1" x14ac:dyDescent="0.3">
      <c r="A18" s="2247" t="s">
        <v>1706</v>
      </c>
      <c r="B18" s="2248"/>
      <c r="C18" s="2248"/>
      <c r="D18" s="2248"/>
      <c r="E18" s="2248"/>
      <c r="F18" s="2249"/>
      <c r="G18" s="957"/>
      <c r="H18" s="975"/>
      <c r="I18" s="957"/>
    </row>
    <row r="19" spans="1:20" ht="96.6" customHeight="1" x14ac:dyDescent="0.3">
      <c r="A19" s="2258" t="s">
        <v>1698</v>
      </c>
      <c r="B19" s="2259"/>
      <c r="C19" s="2259"/>
      <c r="D19" s="2259"/>
      <c r="E19" s="2259"/>
      <c r="F19" s="2260"/>
      <c r="G19" s="957"/>
      <c r="H19" s="975"/>
      <c r="I19" s="957"/>
    </row>
    <row r="20" spans="1:20" s="388" customFormat="1" ht="32.25" customHeight="1" x14ac:dyDescent="0.3">
      <c r="A20" s="2250" t="s">
        <v>781</v>
      </c>
      <c r="B20" s="2251"/>
      <c r="C20" s="1388" t="s">
        <v>782</v>
      </c>
      <c r="D20" s="1388" t="s">
        <v>708</v>
      </c>
      <c r="E20" s="1389" t="s">
        <v>783</v>
      </c>
      <c r="F20" s="1389" t="s">
        <v>784</v>
      </c>
      <c r="G20" s="957"/>
      <c r="H20" s="957"/>
      <c r="I20" s="957"/>
      <c r="J20" s="957"/>
      <c r="K20" s="976"/>
    </row>
    <row r="21" spans="1:20" s="388" customFormat="1" ht="19.5" customHeight="1" x14ac:dyDescent="0.3">
      <c r="A21" s="2252" t="s">
        <v>702</v>
      </c>
      <c r="B21" s="2253"/>
      <c r="C21" s="1416" t="s">
        <v>132</v>
      </c>
      <c r="D21" s="1417" t="s">
        <v>1699</v>
      </c>
      <c r="E21" s="1418" t="s">
        <v>155</v>
      </c>
      <c r="F21" s="1419" t="s">
        <v>156</v>
      </c>
      <c r="G21" s="977"/>
      <c r="H21" s="957"/>
      <c r="I21" s="957"/>
      <c r="J21" s="957"/>
      <c r="K21" s="957"/>
    </row>
    <row r="22" spans="1:20" x14ac:dyDescent="0.3">
      <c r="A22" s="2254">
        <f>IF(A21="Negativa o abstención",3,IF(A21="Con salvedades",2,IF(A21="Sin salvedades",1,0)))</f>
        <v>2</v>
      </c>
      <c r="B22" s="2255"/>
      <c r="C22" s="1390">
        <f>IF(C21="Ineficiente",3,IF(C21="Con deficiencias",2,IF(C21="Eficiente",1,0)))</f>
        <v>2</v>
      </c>
      <c r="D22" s="1390">
        <f>IF(D21="No fenecida",3,IF(D21="Fenecida",1,0))</f>
        <v>0</v>
      </c>
      <c r="E22" s="1391">
        <f>IF(E21="Ineficiente",3,IF(E21="Parcialmente Adecuado",2,IF(E21="Eficiente",1,0)))</f>
        <v>3</v>
      </c>
      <c r="F22" s="1391">
        <f>IF(F21="Alto-Crítico",3,IF(F21="Medio",2,IF(F21="Bajo",1,0)))</f>
        <v>1</v>
      </c>
      <c r="G22" s="957"/>
      <c r="H22" s="957"/>
      <c r="I22" s="957"/>
      <c r="J22" s="957"/>
      <c r="K22" s="957"/>
      <c r="L22" s="388"/>
      <c r="M22" s="388"/>
    </row>
    <row r="23" spans="1:20" x14ac:dyDescent="0.3">
      <c r="E23" s="978"/>
      <c r="F23" s="978"/>
      <c r="G23" s="957"/>
      <c r="H23" s="957"/>
      <c r="I23" s="957"/>
      <c r="J23" s="957"/>
      <c r="K23" s="957"/>
      <c r="L23" s="388"/>
      <c r="M23" s="388"/>
    </row>
    <row r="24" spans="1:20" ht="62.25" customHeight="1" x14ac:dyDescent="0.3">
      <c r="A24" s="2256" t="s">
        <v>785</v>
      </c>
      <c r="B24" s="2257"/>
      <c r="C24" s="1392" t="s">
        <v>786</v>
      </c>
      <c r="D24" s="1392" t="s">
        <v>787</v>
      </c>
      <c r="G24" s="957"/>
      <c r="H24" s="957"/>
      <c r="I24" s="957"/>
      <c r="J24" s="957"/>
      <c r="K24" s="957"/>
      <c r="L24" s="388"/>
      <c r="M24" s="388"/>
    </row>
    <row r="25" spans="1:20" ht="19.5" customHeight="1" x14ac:dyDescent="0.3">
      <c r="A25" s="2240">
        <f>SUM(A22:F22)</f>
        <v>8</v>
      </c>
      <c r="B25" s="2241"/>
      <c r="C25" s="1393" t="str">
        <f>IF(ISERROR(A25),"SIN VALOR",IF(AND(A25&lt;6),D27,IF(AND(A25&gt;=6,A25&lt;11),D28,IF(AND(A25&gt;=11),D29))))</f>
        <v>Entre &gt;1,17% y &lt;=2,08%</v>
      </c>
      <c r="D25" s="423">
        <v>0.02</v>
      </c>
      <c r="G25" s="957"/>
      <c r="H25" s="957"/>
      <c r="I25" s="957"/>
      <c r="J25" s="957"/>
      <c r="K25" s="957"/>
      <c r="L25" s="388"/>
      <c r="M25" s="388"/>
    </row>
    <row r="26" spans="1:20" s="424" customFormat="1" x14ac:dyDescent="0.3">
      <c r="E26" s="979"/>
      <c r="F26" s="980"/>
      <c r="G26" s="981"/>
      <c r="H26" s="981"/>
      <c r="I26" s="981"/>
      <c r="J26" s="981"/>
      <c r="K26" s="981"/>
      <c r="L26" s="425"/>
      <c r="M26" s="425"/>
    </row>
    <row r="27" spans="1:20" s="425" customFormat="1" x14ac:dyDescent="0.3">
      <c r="A27" s="2240" t="s">
        <v>788</v>
      </c>
      <c r="B27" s="2241"/>
      <c r="C27" s="1394" t="s">
        <v>789</v>
      </c>
      <c r="D27" s="1395" t="s">
        <v>790</v>
      </c>
      <c r="E27" s="981"/>
      <c r="F27" s="981"/>
      <c r="G27" s="981"/>
      <c r="H27" s="981"/>
      <c r="I27" s="981"/>
      <c r="J27" s="981"/>
      <c r="K27" s="981"/>
    </row>
    <row r="28" spans="1:20" s="424" customFormat="1" ht="17.25" customHeight="1" x14ac:dyDescent="0.3">
      <c r="A28" s="2240" t="s">
        <v>791</v>
      </c>
      <c r="B28" s="2241"/>
      <c r="C28" s="1394" t="s">
        <v>792</v>
      </c>
      <c r="D28" s="1395" t="s">
        <v>793</v>
      </c>
      <c r="E28" s="979"/>
      <c r="F28" s="980"/>
      <c r="G28" s="981"/>
      <c r="H28" s="981"/>
      <c r="I28" s="981"/>
      <c r="J28" s="981"/>
      <c r="K28" s="981"/>
      <c r="L28" s="425"/>
      <c r="M28" s="425"/>
    </row>
    <row r="29" spans="1:20" ht="17.25" customHeight="1" x14ac:dyDescent="0.3">
      <c r="A29" s="2240" t="s">
        <v>794</v>
      </c>
      <c r="B29" s="2241"/>
      <c r="C29" s="1394" t="s">
        <v>795</v>
      </c>
      <c r="D29" s="1395" t="s">
        <v>796</v>
      </c>
      <c r="F29" s="957"/>
      <c r="G29" s="957"/>
      <c r="H29" s="957"/>
      <c r="I29" s="957"/>
      <c r="J29" s="957"/>
      <c r="K29" s="957"/>
      <c r="L29" s="388"/>
      <c r="M29" s="388"/>
    </row>
    <row r="30" spans="1:20" ht="17.25" customHeight="1" x14ac:dyDescent="0.3">
      <c r="A30" s="1396"/>
      <c r="B30" s="1396"/>
      <c r="C30" s="1396"/>
      <c r="D30" s="1396"/>
      <c r="E30" s="982"/>
      <c r="F30" s="957"/>
      <c r="G30" s="957"/>
      <c r="H30" s="957"/>
      <c r="I30" s="957"/>
      <c r="J30" s="957"/>
      <c r="K30" s="957"/>
      <c r="L30" s="388"/>
      <c r="M30" s="388"/>
    </row>
    <row r="31" spans="1:20" ht="21" customHeight="1" x14ac:dyDescent="0.3">
      <c r="A31" s="2242" t="s">
        <v>797</v>
      </c>
      <c r="B31" s="2243"/>
      <c r="C31" s="2243"/>
      <c r="D31" s="2244"/>
      <c r="E31" s="979"/>
      <c r="F31" s="979"/>
      <c r="G31" s="968"/>
      <c r="H31" s="968"/>
      <c r="I31" s="968"/>
      <c r="J31" s="968"/>
      <c r="K31" s="968"/>
      <c r="L31" s="413"/>
    </row>
    <row r="32" spans="1:20" ht="27.75" customHeight="1" x14ac:dyDescent="0.3">
      <c r="A32" s="2245" t="s">
        <v>1627</v>
      </c>
      <c r="B32" s="2246"/>
      <c r="C32" s="2246"/>
      <c r="D32" s="2246"/>
      <c r="E32" s="2237"/>
      <c r="F32" s="2238"/>
      <c r="G32" s="2233"/>
      <c r="H32" s="2233"/>
      <c r="I32" s="2233"/>
      <c r="J32" s="2233"/>
      <c r="K32" s="2234"/>
      <c r="L32" s="2234"/>
    </row>
    <row r="33" spans="1:20" ht="28.8" x14ac:dyDescent="0.3">
      <c r="A33" s="2235" t="s">
        <v>750</v>
      </c>
      <c r="B33" s="2236"/>
      <c r="C33" s="1397" t="s">
        <v>799</v>
      </c>
      <c r="D33" s="1398" t="s">
        <v>800</v>
      </c>
      <c r="E33" s="2237"/>
      <c r="F33" s="2238"/>
      <c r="G33" s="2239"/>
      <c r="H33" s="2239"/>
      <c r="I33" s="2239"/>
      <c r="J33" s="2239"/>
      <c r="K33" s="2234"/>
      <c r="L33" s="2234"/>
    </row>
    <row r="34" spans="1:20" x14ac:dyDescent="0.3">
      <c r="A34" s="2222"/>
      <c r="B34" s="2223"/>
      <c r="C34" s="2226" t="str">
        <f>IF(A34="","",D25)</f>
        <v/>
      </c>
      <c r="D34" s="2228" t="str">
        <f>IF(A34="","",A34*C34)</f>
        <v/>
      </c>
      <c r="E34" s="983"/>
      <c r="F34" s="984"/>
      <c r="G34" s="985"/>
      <c r="H34" s="986"/>
      <c r="I34" s="986"/>
      <c r="J34" s="986"/>
      <c r="K34" s="987"/>
      <c r="L34" s="427"/>
      <c r="P34" s="428"/>
    </row>
    <row r="35" spans="1:20" x14ac:dyDescent="0.3">
      <c r="A35" s="2224"/>
      <c r="B35" s="2225"/>
      <c r="C35" s="2227"/>
      <c r="D35" s="2229"/>
      <c r="E35" s="988"/>
      <c r="F35" s="989"/>
      <c r="G35" s="990"/>
      <c r="H35" s="991"/>
      <c r="I35" s="992"/>
      <c r="J35" s="991"/>
      <c r="K35" s="993"/>
      <c r="L35" s="429"/>
      <c r="P35" s="428"/>
    </row>
    <row r="36" spans="1:20" ht="15.75" customHeight="1" x14ac:dyDescent="0.3">
      <c r="A36" s="430"/>
      <c r="E36" s="957"/>
      <c r="F36" s="957"/>
      <c r="G36" s="957"/>
      <c r="H36" s="957"/>
      <c r="I36" s="957"/>
      <c r="J36" s="957"/>
      <c r="K36" s="957"/>
      <c r="L36" s="388"/>
      <c r="P36" s="431"/>
    </row>
    <row r="37" spans="1:20" ht="29.25" customHeight="1" x14ac:dyDescent="0.3">
      <c r="A37" s="2230" t="s">
        <v>1628</v>
      </c>
      <c r="B37" s="2231"/>
      <c r="C37" s="2231"/>
      <c r="D37" s="2231"/>
      <c r="E37" s="2209"/>
      <c r="F37" s="2210"/>
      <c r="G37" s="2232"/>
      <c r="H37" s="2232"/>
      <c r="I37" s="2232"/>
      <c r="J37" s="2232"/>
      <c r="K37" s="2206"/>
      <c r="L37" s="2206"/>
    </row>
    <row r="38" spans="1:20" ht="31.5" customHeight="1" x14ac:dyDescent="0.3">
      <c r="A38" s="2207" t="s">
        <v>750</v>
      </c>
      <c r="B38" s="2208"/>
      <c r="C38" s="1399" t="s">
        <v>802</v>
      </c>
      <c r="D38" s="1400" t="s">
        <v>800</v>
      </c>
      <c r="E38" s="2209"/>
      <c r="F38" s="2210"/>
      <c r="G38" s="2211"/>
      <c r="H38" s="2211"/>
      <c r="I38" s="2211"/>
      <c r="J38" s="2211"/>
      <c r="K38" s="2206"/>
      <c r="L38" s="2206"/>
    </row>
    <row r="39" spans="1:20" ht="16.5" customHeight="1" x14ac:dyDescent="0.3">
      <c r="A39" s="2212"/>
      <c r="B39" s="2213"/>
      <c r="C39" s="2216">
        <f>+D25</f>
        <v>0.02</v>
      </c>
      <c r="D39" s="2218">
        <f>A39*C39</f>
        <v>0</v>
      </c>
      <c r="E39" s="994"/>
      <c r="F39" s="995"/>
      <c r="G39" s="996"/>
      <c r="H39" s="997"/>
      <c r="I39" s="998"/>
      <c r="J39" s="997"/>
      <c r="K39" s="999"/>
      <c r="L39" s="432"/>
    </row>
    <row r="40" spans="1:20" ht="16.5" customHeight="1" x14ac:dyDescent="0.3">
      <c r="A40" s="2214"/>
      <c r="B40" s="2215"/>
      <c r="C40" s="2217"/>
      <c r="D40" s="2219"/>
      <c r="E40" s="1000"/>
      <c r="F40" s="1001"/>
      <c r="G40" s="1002"/>
      <c r="H40" s="1003"/>
      <c r="I40" s="1004"/>
      <c r="J40" s="1003"/>
      <c r="K40" s="1005"/>
      <c r="L40" s="433"/>
      <c r="M40" s="434"/>
      <c r="N40" s="435"/>
      <c r="O40" s="436"/>
      <c r="P40" s="437"/>
      <c r="Q40" s="438"/>
      <c r="R40" s="437"/>
      <c r="S40" s="439"/>
      <c r="T40" s="435"/>
    </row>
    <row r="41" spans="1:20" customFormat="1" ht="16.5" customHeight="1" x14ac:dyDescent="0.3">
      <c r="E41" s="1006"/>
      <c r="F41" s="1006"/>
      <c r="G41" s="1006"/>
      <c r="H41" s="1006"/>
      <c r="I41" s="1006"/>
      <c r="J41" s="1006"/>
      <c r="K41" s="1006"/>
    </row>
    <row r="42" spans="1:20" customFormat="1" ht="16.5" customHeight="1" x14ac:dyDescent="0.3">
      <c r="A42" s="2221" t="s">
        <v>803</v>
      </c>
      <c r="B42" s="2221"/>
      <c r="C42" s="2221"/>
      <c r="D42" s="2221"/>
      <c r="E42" s="1006"/>
      <c r="F42" s="1006"/>
      <c r="G42" s="1006"/>
      <c r="H42" s="1006"/>
      <c r="I42" s="1006"/>
      <c r="J42" s="1006"/>
      <c r="K42" s="1006"/>
    </row>
    <row r="43" spans="1:20" customFormat="1" ht="16.5" customHeight="1" x14ac:dyDescent="0.3">
      <c r="A43" s="2220" t="s">
        <v>804</v>
      </c>
      <c r="B43" s="2220"/>
      <c r="C43" s="1401" t="s">
        <v>806</v>
      </c>
      <c r="D43" s="1401" t="s">
        <v>807</v>
      </c>
      <c r="E43" s="1006"/>
      <c r="F43" s="1006"/>
      <c r="G43" s="1006"/>
      <c r="H43" s="1006"/>
      <c r="I43" s="1006"/>
      <c r="J43" s="1006"/>
      <c r="K43" s="1006"/>
    </row>
    <row r="44" spans="1:20" customFormat="1" ht="13.5" customHeight="1" x14ac:dyDescent="0.3">
      <c r="A44" s="2205" t="s">
        <v>808</v>
      </c>
      <c r="B44" s="2205"/>
      <c r="C44" s="1604"/>
      <c r="D44" s="440">
        <f>+C44*$C$39</f>
        <v>0</v>
      </c>
      <c r="E44" s="1006"/>
      <c r="F44" s="1006"/>
      <c r="G44" s="1006"/>
      <c r="H44" s="1006"/>
      <c r="I44" s="1006"/>
      <c r="J44" s="1006"/>
      <c r="K44" s="1006"/>
    </row>
    <row r="45" spans="1:20" customFormat="1" ht="13.5" customHeight="1" x14ac:dyDescent="0.3">
      <c r="A45" s="2205" t="s">
        <v>811</v>
      </c>
      <c r="B45" s="2205"/>
      <c r="C45" s="1604"/>
      <c r="D45" s="440">
        <f t="shared" ref="D45:D49" si="0">+C45*$C$39</f>
        <v>0</v>
      </c>
      <c r="E45" s="1006"/>
      <c r="F45" s="1006"/>
      <c r="G45" s="1006"/>
      <c r="H45" s="1006"/>
      <c r="I45" s="1006"/>
      <c r="J45" s="1006"/>
      <c r="K45" s="1006"/>
    </row>
    <row r="46" spans="1:20" customFormat="1" ht="13.5" customHeight="1" x14ac:dyDescent="0.3">
      <c r="A46" s="2205" t="s">
        <v>813</v>
      </c>
      <c r="B46" s="2205"/>
      <c r="C46" s="1604"/>
      <c r="D46" s="440">
        <f t="shared" si="0"/>
        <v>0</v>
      </c>
      <c r="E46" s="1006"/>
      <c r="F46" s="1006"/>
      <c r="G46" s="1006"/>
      <c r="H46" s="1006"/>
      <c r="I46" s="1006"/>
      <c r="J46" s="1006"/>
      <c r="K46" s="1006"/>
    </row>
    <row r="47" spans="1:20" customFormat="1" ht="13.5" customHeight="1" x14ac:dyDescent="0.3">
      <c r="A47" s="2205" t="s">
        <v>812</v>
      </c>
      <c r="B47" s="2205"/>
      <c r="C47" s="1604"/>
      <c r="D47" s="440">
        <f t="shared" si="0"/>
        <v>0</v>
      </c>
      <c r="E47" s="1006"/>
      <c r="F47" s="1006"/>
      <c r="G47" s="1006"/>
      <c r="H47" s="1006"/>
      <c r="I47" s="1006"/>
      <c r="J47" s="1006"/>
      <c r="K47" s="1006"/>
    </row>
    <row r="48" spans="1:20" customFormat="1" ht="13.5" customHeight="1" x14ac:dyDescent="0.3">
      <c r="A48" s="2205" t="s">
        <v>520</v>
      </c>
      <c r="B48" s="2205"/>
      <c r="C48" s="1604"/>
      <c r="D48" s="440">
        <f t="shared" si="0"/>
        <v>0</v>
      </c>
      <c r="E48" s="1006"/>
      <c r="F48" s="1006"/>
      <c r="G48" s="1006"/>
      <c r="H48" s="1006"/>
      <c r="I48" s="1006"/>
      <c r="J48" s="1006"/>
      <c r="K48" s="1006"/>
    </row>
    <row r="49" spans="1:13" customFormat="1" ht="13.5" customHeight="1" x14ac:dyDescent="0.3">
      <c r="A49" s="2205" t="s">
        <v>527</v>
      </c>
      <c r="B49" s="2205"/>
      <c r="C49" s="1604"/>
      <c r="D49" s="440">
        <f t="shared" si="0"/>
        <v>0</v>
      </c>
      <c r="E49" s="1006"/>
      <c r="F49" s="1006"/>
      <c r="G49" s="1006"/>
      <c r="H49" s="1006"/>
      <c r="I49" s="1006"/>
      <c r="J49" s="1006"/>
      <c r="K49" s="1006"/>
    </row>
    <row r="50" spans="1:13" customFormat="1" ht="16.5" customHeight="1" x14ac:dyDescent="0.3">
      <c r="E50" s="1006"/>
      <c r="F50" s="1006"/>
      <c r="G50" s="1006"/>
      <c r="H50" s="1006"/>
      <c r="I50" s="1006"/>
      <c r="J50" s="1006"/>
      <c r="K50" s="1006"/>
    </row>
    <row r="51" spans="1:13" customFormat="1" ht="16.5" customHeight="1" x14ac:dyDescent="0.3">
      <c r="E51" s="1006"/>
      <c r="F51" s="1006"/>
      <c r="G51" s="1006"/>
      <c r="H51" s="1006"/>
      <c r="I51" s="1006"/>
      <c r="J51" s="1006"/>
      <c r="K51" s="1006"/>
    </row>
    <row r="52" spans="1:13" s="424" customFormat="1" ht="17.25" customHeight="1" x14ac:dyDescent="0.3">
      <c r="A52" s="2192" t="s">
        <v>1679</v>
      </c>
      <c r="B52" s="2192"/>
      <c r="C52" s="2192"/>
      <c r="D52" s="2192"/>
      <c r="E52" s="2192"/>
      <c r="F52" s="2192"/>
      <c r="G52" s="1007"/>
      <c r="H52" s="981"/>
      <c r="I52" s="981"/>
      <c r="J52" s="981"/>
      <c r="K52" s="981"/>
      <c r="L52" s="425"/>
      <c r="M52" s="425"/>
    </row>
    <row r="53" spans="1:13" s="424" customFormat="1" x14ac:dyDescent="0.3">
      <c r="A53" s="2193" t="s">
        <v>814</v>
      </c>
      <c r="B53" s="2194"/>
      <c r="C53" s="2194"/>
      <c r="D53" s="2194"/>
      <c r="E53" s="2194"/>
      <c r="F53" s="2195"/>
      <c r="G53" s="1007"/>
      <c r="H53" s="981"/>
      <c r="I53" s="981"/>
      <c r="J53" s="981"/>
      <c r="K53" s="981"/>
      <c r="L53" s="425"/>
      <c r="M53" s="425"/>
    </row>
    <row r="54" spans="1:13" s="424" customFormat="1" ht="15.75" customHeight="1" x14ac:dyDescent="0.3">
      <c r="A54" s="2196"/>
      <c r="B54" s="2197"/>
      <c r="C54" s="2197"/>
      <c r="D54" s="2197"/>
      <c r="E54" s="2197"/>
      <c r="F54" s="2198"/>
      <c r="G54" s="1007"/>
      <c r="H54" s="981"/>
      <c r="I54" s="981"/>
      <c r="J54" s="981"/>
      <c r="K54" s="981"/>
      <c r="L54" s="425"/>
      <c r="M54" s="425"/>
    </row>
    <row r="55" spans="1:13" s="424" customFormat="1" ht="15.75" customHeight="1" x14ac:dyDescent="0.3">
      <c r="A55" s="2196"/>
      <c r="B55" s="2197"/>
      <c r="C55" s="2197"/>
      <c r="D55" s="2197"/>
      <c r="E55" s="2197"/>
      <c r="F55" s="2198"/>
      <c r="G55" s="1007"/>
      <c r="H55" s="981"/>
      <c r="I55" s="981"/>
      <c r="J55" s="981"/>
      <c r="K55" s="981"/>
      <c r="L55" s="425"/>
      <c r="M55" s="425"/>
    </row>
    <row r="56" spans="1:13" ht="15.75" customHeight="1" x14ac:dyDescent="0.3">
      <c r="A56" s="2199"/>
      <c r="B56" s="2200"/>
      <c r="C56" s="2200"/>
      <c r="D56" s="2200"/>
      <c r="E56" s="2200"/>
      <c r="F56" s="2201"/>
      <c r="G56" s="957"/>
      <c r="H56" s="957"/>
      <c r="I56" s="957"/>
      <c r="J56" s="957"/>
      <c r="K56" s="957"/>
      <c r="L56" s="388"/>
      <c r="M56" s="388"/>
    </row>
    <row r="57" spans="1:13" ht="15.75" customHeight="1" x14ac:dyDescent="0.3">
      <c r="A57" s="1402"/>
      <c r="B57" s="1402"/>
      <c r="C57" s="1402"/>
      <c r="D57" s="1402"/>
      <c r="E57" s="1403"/>
      <c r="F57" s="1403"/>
      <c r="G57" s="957"/>
      <c r="H57" s="957"/>
      <c r="I57" s="957"/>
      <c r="J57" s="957"/>
      <c r="K57" s="957"/>
      <c r="L57" s="388"/>
      <c r="M57" s="388"/>
    </row>
    <row r="58" spans="1:13" s="424" customFormat="1" hidden="1" x14ac:dyDescent="0.3">
      <c r="A58" s="2202" t="s">
        <v>815</v>
      </c>
      <c r="B58" s="2203"/>
      <c r="C58" s="2203"/>
      <c r="D58" s="2203"/>
      <c r="E58" s="2203"/>
      <c r="F58" s="2204"/>
      <c r="G58" s="979"/>
      <c r="H58" s="979"/>
      <c r="I58" s="979"/>
      <c r="J58" s="979"/>
      <c r="K58" s="979"/>
    </row>
    <row r="59" spans="1:13" s="424" customFormat="1" ht="60.75" hidden="1" customHeight="1" x14ac:dyDescent="0.3">
      <c r="A59" s="2172" t="s">
        <v>816</v>
      </c>
      <c r="B59" s="2172"/>
      <c r="C59" s="2172"/>
      <c r="D59" s="2172"/>
      <c r="E59" s="2172"/>
      <c r="F59" s="2172"/>
      <c r="G59" s="979"/>
      <c r="H59" s="979"/>
      <c r="I59" s="979"/>
      <c r="J59" s="979"/>
      <c r="K59" s="979"/>
    </row>
    <row r="60" spans="1:13" s="424" customFormat="1" ht="48" hidden="1" customHeight="1" x14ac:dyDescent="0.3">
      <c r="A60" s="1404" t="s">
        <v>817</v>
      </c>
      <c r="B60" s="1405" t="s">
        <v>818</v>
      </c>
      <c r="C60" s="1406" t="s">
        <v>819</v>
      </c>
      <c r="D60" s="1407" t="s">
        <v>820</v>
      </c>
      <c r="E60" s="1408" t="s">
        <v>821</v>
      </c>
      <c r="F60" s="1408" t="s">
        <v>822</v>
      </c>
      <c r="G60" s="1008"/>
      <c r="H60" s="1008"/>
      <c r="I60" s="979"/>
      <c r="J60" s="979"/>
      <c r="K60" s="979"/>
    </row>
    <row r="61" spans="1:13" s="424" customFormat="1" ht="22.5" hidden="1" customHeight="1" x14ac:dyDescent="0.3">
      <c r="A61" s="1409" t="s">
        <v>689</v>
      </c>
      <c r="B61" s="1410">
        <v>0.04</v>
      </c>
      <c r="C61" s="1411" t="s">
        <v>823</v>
      </c>
      <c r="D61" s="1412" t="s">
        <v>824</v>
      </c>
      <c r="E61" s="1413" t="str">
        <f>+D34</f>
        <v/>
      </c>
      <c r="F61" s="1414" t="e">
        <f>+E61*B61</f>
        <v>#VALUE!</v>
      </c>
      <c r="G61" s="979"/>
      <c r="H61" s="979"/>
      <c r="I61" s="979"/>
      <c r="J61" s="979"/>
      <c r="K61" s="979"/>
    </row>
    <row r="62" spans="1:13" s="424" customFormat="1" ht="29.25" hidden="1" customHeight="1" x14ac:dyDescent="0.3">
      <c r="A62" s="1409"/>
      <c r="B62" s="1410"/>
      <c r="C62" s="1412"/>
      <c r="D62" s="1412"/>
      <c r="E62" s="1415"/>
      <c r="F62" s="1414">
        <f>+E62*B62</f>
        <v>0</v>
      </c>
      <c r="G62" s="979"/>
      <c r="H62" s="979"/>
      <c r="I62" s="979"/>
      <c r="J62" s="979"/>
      <c r="K62" s="979"/>
    </row>
    <row r="63" spans="1:13" s="424" customFormat="1" hidden="1" x14ac:dyDescent="0.3">
      <c r="A63" s="1409"/>
      <c r="B63" s="1410"/>
      <c r="C63" s="1412"/>
      <c r="D63" s="1412"/>
      <c r="E63" s="1415"/>
      <c r="F63" s="1414">
        <f>+E63*B63</f>
        <v>0</v>
      </c>
      <c r="G63" s="979"/>
      <c r="H63" s="979"/>
      <c r="I63" s="979"/>
      <c r="J63" s="979"/>
      <c r="K63" s="979"/>
    </row>
    <row r="64" spans="1:13" s="424" customFormat="1" ht="18" hidden="1" customHeight="1" x14ac:dyDescent="0.3">
      <c r="A64" s="1409"/>
      <c r="B64" s="1410"/>
      <c r="C64" s="1412"/>
      <c r="D64" s="1412"/>
      <c r="E64" s="1415"/>
      <c r="F64" s="1414">
        <f>+E64*B64</f>
        <v>0</v>
      </c>
      <c r="G64" s="979"/>
      <c r="H64" s="979"/>
      <c r="I64" s="979"/>
      <c r="J64" s="979"/>
      <c r="K64" s="979"/>
    </row>
    <row r="65" spans="1:11" s="424" customFormat="1" ht="15.75" hidden="1" customHeight="1" x14ac:dyDescent="0.3">
      <c r="A65" s="1409"/>
      <c r="B65" s="1410"/>
      <c r="C65" s="1412"/>
      <c r="D65" s="1412"/>
      <c r="E65" s="1415"/>
      <c r="F65" s="1414">
        <f>+E65*B65</f>
        <v>0</v>
      </c>
      <c r="G65" s="979"/>
      <c r="H65" s="979"/>
      <c r="I65" s="979"/>
      <c r="J65" s="979"/>
      <c r="K65" s="979"/>
    </row>
    <row r="66" spans="1:11" s="424" customFormat="1" hidden="1" x14ac:dyDescent="0.3">
      <c r="E66" s="979"/>
      <c r="F66" s="979"/>
      <c r="G66" s="979"/>
      <c r="H66" s="979"/>
      <c r="I66" s="979"/>
      <c r="J66" s="979"/>
      <c r="K66" s="979"/>
    </row>
    <row r="67" spans="1:11" s="424" customFormat="1" x14ac:dyDescent="0.3">
      <c r="A67" s="2171" t="s">
        <v>825</v>
      </c>
      <c r="B67" s="2171"/>
      <c r="C67" s="2171"/>
      <c r="D67" s="2171"/>
      <c r="E67" s="2171"/>
      <c r="F67" s="2171"/>
      <c r="G67" s="979"/>
      <c r="H67" s="979"/>
      <c r="I67" s="979"/>
      <c r="J67" s="979"/>
      <c r="K67" s="979"/>
    </row>
    <row r="68" spans="1:11" s="424" customFormat="1" ht="52.5" customHeight="1" x14ac:dyDescent="0.3">
      <c r="A68" s="2188" t="s">
        <v>826</v>
      </c>
      <c r="B68" s="2189"/>
      <c r="C68" s="2189"/>
      <c r="D68" s="2189"/>
      <c r="E68" s="2189"/>
      <c r="F68" s="2190"/>
      <c r="G68" s="979"/>
      <c r="H68" s="979"/>
      <c r="I68" s="979"/>
      <c r="J68" s="979"/>
      <c r="K68" s="979"/>
    </row>
    <row r="69" spans="1:11" s="424" customFormat="1" x14ac:dyDescent="0.3">
      <c r="A69" s="2173" t="s">
        <v>827</v>
      </c>
      <c r="B69" s="2191"/>
      <c r="C69" s="2191"/>
      <c r="D69" s="2191"/>
      <c r="E69" s="2191"/>
      <c r="F69" s="2174"/>
      <c r="G69" s="979"/>
      <c r="H69" s="979"/>
      <c r="I69" s="979"/>
      <c r="J69" s="979"/>
      <c r="K69" s="979"/>
    </row>
    <row r="70" spans="1:11" s="424" customFormat="1" x14ac:dyDescent="0.3">
      <c r="A70" s="2173" t="s">
        <v>818</v>
      </c>
      <c r="B70" s="2174"/>
      <c r="C70" s="2173" t="s">
        <v>828</v>
      </c>
      <c r="D70" s="2174"/>
      <c r="E70" s="449" t="s">
        <v>829</v>
      </c>
      <c r="F70" s="449" t="s">
        <v>830</v>
      </c>
      <c r="G70" s="979"/>
      <c r="H70" s="979"/>
      <c r="I70" s="979"/>
      <c r="J70" s="979"/>
      <c r="K70" s="979"/>
    </row>
    <row r="71" spans="1:11" s="424" customFormat="1" x14ac:dyDescent="0.3">
      <c r="A71" s="2177">
        <v>0.8</v>
      </c>
      <c r="B71" s="2178"/>
      <c r="C71" s="2181" t="s">
        <v>798</v>
      </c>
      <c r="D71" s="2182"/>
      <c r="E71" s="444" t="str">
        <f>+D34</f>
        <v/>
      </c>
      <c r="F71" s="445" t="str">
        <f>IF(E71="","",E71*A71)</f>
        <v/>
      </c>
      <c r="G71" s="979"/>
      <c r="H71" s="979"/>
      <c r="I71" s="979"/>
      <c r="J71" s="979"/>
      <c r="K71" s="979"/>
    </row>
    <row r="72" spans="1:11" s="424" customFormat="1" x14ac:dyDescent="0.3">
      <c r="A72" s="2177">
        <v>0.67</v>
      </c>
      <c r="B72" s="2178"/>
      <c r="C72" s="2181" t="s">
        <v>801</v>
      </c>
      <c r="D72" s="2182"/>
      <c r="E72" s="444">
        <f>+D39</f>
        <v>0</v>
      </c>
      <c r="F72" s="445">
        <f>IF(E72="","",E72*A72)</f>
        <v>0</v>
      </c>
      <c r="G72" s="979"/>
      <c r="H72" s="979"/>
      <c r="I72" s="979"/>
      <c r="J72" s="979"/>
      <c r="K72" s="979"/>
    </row>
    <row r="73" spans="1:11" s="424" customFormat="1" x14ac:dyDescent="0.3">
      <c r="A73" s="2183" t="s">
        <v>831</v>
      </c>
      <c r="B73" s="2184"/>
      <c r="C73" s="2184"/>
      <c r="D73" s="2184"/>
      <c r="E73" s="2184"/>
      <c r="F73" s="2185"/>
      <c r="G73" s="979"/>
      <c r="H73" s="979"/>
      <c r="I73" s="979"/>
      <c r="J73" s="979"/>
      <c r="K73" s="979"/>
    </row>
    <row r="74" spans="1:11" s="424" customFormat="1" x14ac:dyDescent="0.3">
      <c r="A74" s="2186" t="s">
        <v>818</v>
      </c>
      <c r="B74" s="2187"/>
      <c r="C74" s="2186" t="s">
        <v>828</v>
      </c>
      <c r="D74" s="2187"/>
      <c r="E74" s="443" t="s">
        <v>832</v>
      </c>
      <c r="F74" s="443" t="s">
        <v>830</v>
      </c>
      <c r="G74" s="979"/>
      <c r="H74" s="979"/>
      <c r="I74" s="979"/>
      <c r="J74" s="979"/>
      <c r="K74" s="979"/>
    </row>
    <row r="75" spans="1:11" s="424" customFormat="1" x14ac:dyDescent="0.3">
      <c r="A75" s="2177">
        <v>0.64</v>
      </c>
      <c r="B75" s="2178"/>
      <c r="C75" s="2179" t="s">
        <v>833</v>
      </c>
      <c r="D75" s="2180"/>
      <c r="E75" s="446">
        <v>10500000000</v>
      </c>
      <c r="F75" s="445">
        <f>IF(E75="","",A75*E75)</f>
        <v>6720000000</v>
      </c>
      <c r="G75" s="979"/>
      <c r="H75" s="979"/>
      <c r="I75" s="979"/>
      <c r="J75" s="979"/>
      <c r="K75" s="979"/>
    </row>
    <row r="76" spans="1:11" s="424" customFormat="1" x14ac:dyDescent="0.3">
      <c r="A76" s="2177"/>
      <c r="B76" s="2178"/>
      <c r="C76" s="2179"/>
      <c r="D76" s="2180"/>
      <c r="E76" s="446"/>
      <c r="F76" s="445" t="str">
        <f t="shared" ref="F76:F81" si="1">IF(E76="","",A76*E76)</f>
        <v/>
      </c>
      <c r="G76" s="979"/>
      <c r="H76" s="979"/>
      <c r="I76" s="979"/>
      <c r="J76" s="979"/>
      <c r="K76" s="979"/>
    </row>
    <row r="77" spans="1:11" s="424" customFormat="1" x14ac:dyDescent="0.3">
      <c r="A77" s="2177"/>
      <c r="B77" s="2178"/>
      <c r="C77" s="2179"/>
      <c r="D77" s="2180"/>
      <c r="E77" s="1009"/>
      <c r="F77" s="445" t="str">
        <f t="shared" si="1"/>
        <v/>
      </c>
      <c r="G77" s="979"/>
      <c r="H77" s="979"/>
      <c r="I77" s="979"/>
      <c r="J77" s="979"/>
      <c r="K77" s="979"/>
    </row>
    <row r="78" spans="1:11" s="424" customFormat="1" x14ac:dyDescent="0.3">
      <c r="A78" s="2177"/>
      <c r="B78" s="2178"/>
      <c r="C78" s="2179"/>
      <c r="D78" s="2180"/>
      <c r="E78" s="1009"/>
      <c r="F78" s="445" t="str">
        <f t="shared" si="1"/>
        <v/>
      </c>
      <c r="G78" s="979"/>
      <c r="H78" s="979"/>
      <c r="I78" s="979"/>
      <c r="J78" s="979"/>
      <c r="K78" s="979"/>
    </row>
    <row r="79" spans="1:11" s="424" customFormat="1" x14ac:dyDescent="0.3">
      <c r="A79" s="2177"/>
      <c r="B79" s="2178"/>
      <c r="C79" s="2179"/>
      <c r="D79" s="2180"/>
      <c r="E79" s="1009"/>
      <c r="F79" s="445" t="str">
        <f t="shared" si="1"/>
        <v/>
      </c>
      <c r="G79" s="979"/>
      <c r="H79" s="979"/>
      <c r="I79" s="979"/>
      <c r="J79" s="979"/>
      <c r="K79" s="979"/>
    </row>
    <row r="80" spans="1:11" s="424" customFormat="1" x14ac:dyDescent="0.3">
      <c r="A80" s="2177"/>
      <c r="B80" s="2178"/>
      <c r="C80" s="2179"/>
      <c r="D80" s="2180"/>
      <c r="E80" s="1009"/>
      <c r="F80" s="445" t="str">
        <f t="shared" si="1"/>
        <v/>
      </c>
      <c r="G80" s="979"/>
      <c r="H80" s="979"/>
      <c r="I80" s="979"/>
      <c r="J80" s="979"/>
      <c r="K80" s="979"/>
    </row>
    <row r="81" spans="1:14" s="424" customFormat="1" x14ac:dyDescent="0.3">
      <c r="A81" s="2169"/>
      <c r="B81" s="2169"/>
      <c r="C81" s="2170"/>
      <c r="D81" s="2170"/>
      <c r="E81" s="1009"/>
      <c r="F81" s="445" t="str">
        <f t="shared" si="1"/>
        <v/>
      </c>
      <c r="G81" s="979"/>
      <c r="H81" s="979"/>
      <c r="I81" s="979"/>
      <c r="J81" s="979"/>
      <c r="K81" s="979"/>
    </row>
    <row r="82" spans="1:14" s="424" customFormat="1" x14ac:dyDescent="0.3">
      <c r="A82" s="447"/>
      <c r="B82" s="447"/>
      <c r="C82" s="395"/>
      <c r="D82" s="395"/>
      <c r="E82" s="1010"/>
      <c r="F82" s="1011"/>
      <c r="G82" s="979"/>
      <c r="H82" s="979"/>
      <c r="I82" s="979"/>
      <c r="J82" s="979"/>
      <c r="K82" s="979"/>
    </row>
    <row r="83" spans="1:14" s="424" customFormat="1" hidden="1" x14ac:dyDescent="0.3">
      <c r="A83" s="2171" t="s">
        <v>834</v>
      </c>
      <c r="B83" s="2171"/>
      <c r="C83" s="2171"/>
      <c r="D83" s="2171"/>
      <c r="E83" s="2171"/>
      <c r="F83" s="2171"/>
      <c r="G83" s="448"/>
      <c r="H83" s="979"/>
      <c r="I83" s="979"/>
      <c r="J83" s="979"/>
      <c r="K83" s="448"/>
      <c r="L83" s="448"/>
    </row>
    <row r="84" spans="1:14" s="424" customFormat="1" ht="60" hidden="1" customHeight="1" x14ac:dyDescent="0.3">
      <c r="A84" s="2172" t="s">
        <v>835</v>
      </c>
      <c r="B84" s="2172"/>
      <c r="C84" s="2172"/>
      <c r="D84" s="2172"/>
      <c r="E84" s="2172"/>
      <c r="F84" s="2172"/>
      <c r="G84" s="448"/>
      <c r="H84" s="979"/>
      <c r="I84" s="979"/>
      <c r="J84" s="979"/>
      <c r="K84" s="448"/>
      <c r="L84" s="448"/>
    </row>
    <row r="85" spans="1:14" s="424" customFormat="1" hidden="1" x14ac:dyDescent="0.3">
      <c r="A85" s="449" t="s">
        <v>818</v>
      </c>
      <c r="B85" s="2173" t="s">
        <v>836</v>
      </c>
      <c r="C85" s="2174"/>
      <c r="D85" s="450" t="s">
        <v>837</v>
      </c>
      <c r="E85" s="2175" t="s">
        <v>838</v>
      </c>
      <c r="F85" s="2176"/>
      <c r="G85" s="448"/>
      <c r="H85" s="979"/>
      <c r="I85" s="979"/>
      <c r="J85" s="979"/>
      <c r="K85" s="448"/>
      <c r="L85" s="448"/>
    </row>
    <row r="86" spans="1:14" s="424" customFormat="1" hidden="1" x14ac:dyDescent="0.3">
      <c r="A86" s="442">
        <v>0.04</v>
      </c>
      <c r="B86" s="2163"/>
      <c r="C86" s="2164"/>
      <c r="D86" s="451">
        <f>+B86*A86</f>
        <v>0</v>
      </c>
      <c r="E86" s="2165" t="s">
        <v>839</v>
      </c>
      <c r="F86" s="2166"/>
      <c r="G86" s="448"/>
      <c r="H86" s="979"/>
      <c r="I86" s="979"/>
      <c r="J86" s="979"/>
      <c r="K86" s="448"/>
      <c r="L86" s="448"/>
    </row>
    <row r="87" spans="1:14" s="424" customFormat="1" ht="15" hidden="1" customHeight="1" x14ac:dyDescent="0.3">
      <c r="A87" s="452"/>
      <c r="B87" s="2163"/>
      <c r="C87" s="2164"/>
      <c r="D87" s="451">
        <f>+B87*A87</f>
        <v>0</v>
      </c>
      <c r="E87" s="2165"/>
      <c r="F87" s="2166"/>
      <c r="G87" s="979"/>
      <c r="H87" s="979"/>
      <c r="I87" s="979"/>
      <c r="J87" s="979"/>
      <c r="K87" s="979"/>
    </row>
    <row r="88" spans="1:14" s="424" customFormat="1" hidden="1" x14ac:dyDescent="0.3">
      <c r="A88" s="452"/>
      <c r="B88" s="2163"/>
      <c r="C88" s="2164"/>
      <c r="D88" s="451">
        <f t="shared" ref="D88:D93" si="2">+B88*A88</f>
        <v>0</v>
      </c>
      <c r="E88" s="2165"/>
      <c r="F88" s="2166"/>
      <c r="G88" s="979"/>
      <c r="H88" s="979"/>
      <c r="I88" s="979"/>
      <c r="J88" s="979"/>
      <c r="K88" s="979"/>
    </row>
    <row r="89" spans="1:14" s="424" customFormat="1" hidden="1" x14ac:dyDescent="0.3">
      <c r="A89" s="452"/>
      <c r="B89" s="2163"/>
      <c r="C89" s="2164"/>
      <c r="D89" s="451">
        <f t="shared" si="2"/>
        <v>0</v>
      </c>
      <c r="E89" s="2165"/>
      <c r="F89" s="2166"/>
      <c r="G89" s="979"/>
      <c r="H89" s="979"/>
      <c r="I89" s="979"/>
      <c r="J89" s="979"/>
      <c r="K89" s="979"/>
      <c r="N89" s="453"/>
    </row>
    <row r="90" spans="1:14" s="424" customFormat="1" hidden="1" x14ac:dyDescent="0.3">
      <c r="A90" s="452"/>
      <c r="B90" s="2163"/>
      <c r="C90" s="2164"/>
      <c r="D90" s="451">
        <f t="shared" si="2"/>
        <v>0</v>
      </c>
      <c r="E90" s="2165"/>
      <c r="F90" s="2166"/>
      <c r="G90" s="979"/>
      <c r="H90" s="979"/>
      <c r="I90" s="979"/>
      <c r="J90" s="979"/>
      <c r="K90" s="979"/>
    </row>
    <row r="91" spans="1:14" s="424" customFormat="1" hidden="1" x14ac:dyDescent="0.3">
      <c r="A91" s="452"/>
      <c r="B91" s="2163"/>
      <c r="C91" s="2164"/>
      <c r="D91" s="451">
        <f t="shared" si="2"/>
        <v>0</v>
      </c>
      <c r="E91" s="2165"/>
      <c r="F91" s="2166"/>
      <c r="G91" s="979"/>
      <c r="H91" s="979"/>
      <c r="I91" s="979"/>
      <c r="J91" s="979"/>
      <c r="K91" s="979"/>
    </row>
    <row r="92" spans="1:14" s="424" customFormat="1" hidden="1" x14ac:dyDescent="0.3">
      <c r="A92" s="452"/>
      <c r="B92" s="2163"/>
      <c r="C92" s="2164"/>
      <c r="D92" s="451">
        <f t="shared" si="2"/>
        <v>0</v>
      </c>
      <c r="E92" s="2165"/>
      <c r="F92" s="2166"/>
      <c r="G92" s="979"/>
      <c r="H92" s="979"/>
      <c r="I92" s="979"/>
      <c r="J92" s="979"/>
      <c r="K92" s="979"/>
    </row>
    <row r="93" spans="1:14" s="424" customFormat="1" hidden="1" x14ac:dyDescent="0.3">
      <c r="A93" s="452"/>
      <c r="B93" s="2163"/>
      <c r="C93" s="2164"/>
      <c r="D93" s="451">
        <f t="shared" si="2"/>
        <v>0</v>
      </c>
      <c r="E93" s="2165"/>
      <c r="F93" s="2166"/>
      <c r="G93" s="979"/>
      <c r="H93" s="979"/>
      <c r="I93" s="979"/>
      <c r="J93" s="979"/>
      <c r="K93" s="979"/>
    </row>
    <row r="94" spans="1:14" s="424" customFormat="1" ht="21.75" hidden="1" customHeight="1" x14ac:dyDescent="0.3">
      <c r="A94" s="454" t="s">
        <v>840</v>
      </c>
      <c r="B94" s="454"/>
      <c r="E94" s="979"/>
      <c r="F94" s="979"/>
      <c r="G94" s="979"/>
      <c r="H94" s="979"/>
      <c r="I94" s="979"/>
      <c r="J94" s="979"/>
      <c r="K94" s="979"/>
    </row>
    <row r="95" spans="1:14" s="390" customFormat="1" x14ac:dyDescent="0.3">
      <c r="A95" s="1420" t="s">
        <v>464</v>
      </c>
      <c r="B95" s="2167" t="s">
        <v>841</v>
      </c>
      <c r="C95" s="2168"/>
      <c r="D95" s="1421" t="s">
        <v>842</v>
      </c>
      <c r="E95" s="713"/>
      <c r="F95" s="713"/>
      <c r="G95" s="1012"/>
      <c r="H95" s="1013"/>
      <c r="I95" s="1013"/>
      <c r="J95" s="1013"/>
      <c r="K95" s="1013"/>
    </row>
    <row r="96" spans="1:14" s="390" customFormat="1" x14ac:dyDescent="0.3">
      <c r="A96" s="1265"/>
      <c r="B96" s="2161"/>
      <c r="C96" s="2162"/>
      <c r="D96" s="441"/>
      <c r="E96" s="1014"/>
      <c r="F96" s="1014"/>
      <c r="G96" s="1015"/>
      <c r="H96" s="1013"/>
      <c r="I96" s="1013"/>
      <c r="J96" s="1013"/>
      <c r="K96" s="1013"/>
    </row>
    <row r="97" spans="1:11" s="390" customFormat="1" x14ac:dyDescent="0.3">
      <c r="A97" s="1265"/>
      <c r="B97" s="2161"/>
      <c r="C97" s="2162"/>
      <c r="D97" s="441"/>
      <c r="E97" s="1014"/>
      <c r="F97" s="1014"/>
      <c r="G97" s="1015"/>
      <c r="H97" s="1016"/>
      <c r="I97" s="1013"/>
      <c r="J97" s="1013"/>
      <c r="K97" s="1013"/>
    </row>
    <row r="98" spans="1:11" s="390" customFormat="1" x14ac:dyDescent="0.3">
      <c r="A98" s="1265"/>
      <c r="B98" s="2161"/>
      <c r="C98" s="2162"/>
      <c r="D98" s="441"/>
      <c r="E98" s="1014"/>
      <c r="F98" s="1014"/>
      <c r="G98" s="1015"/>
      <c r="H98" s="1016"/>
      <c r="I98" s="1013"/>
      <c r="J98" s="1013"/>
      <c r="K98" s="1013"/>
    </row>
    <row r="99" spans="1:11" s="390" customFormat="1" x14ac:dyDescent="0.3">
      <c r="A99" s="1265"/>
      <c r="B99" s="2161"/>
      <c r="C99" s="2162"/>
      <c r="D99" s="441" t="s">
        <v>144</v>
      </c>
      <c r="E99" s="1014"/>
      <c r="F99" s="1014"/>
      <c r="G99" s="1015"/>
      <c r="H99" s="1013"/>
      <c r="I99" s="1013"/>
      <c r="J99" s="1013"/>
      <c r="K99" s="1013"/>
    </row>
    <row r="100" spans="1:11" s="390" customFormat="1" x14ac:dyDescent="0.3">
      <c r="A100" s="1265"/>
      <c r="B100" s="2161"/>
      <c r="C100" s="2162"/>
      <c r="D100" s="441"/>
      <c r="E100" s="1014"/>
      <c r="F100" s="1014"/>
      <c r="G100" s="1015"/>
      <c r="H100" s="1013"/>
      <c r="I100" s="1013"/>
      <c r="J100" s="1013"/>
      <c r="K100" s="1013"/>
    </row>
    <row r="101" spans="1:11" s="390" customFormat="1" x14ac:dyDescent="0.3">
      <c r="A101" s="1265"/>
      <c r="B101" s="2161"/>
      <c r="C101" s="2162"/>
      <c r="D101" s="441"/>
      <c r="E101" s="1014"/>
      <c r="F101" s="1014"/>
      <c r="G101" s="1015"/>
      <c r="H101" s="1013"/>
      <c r="I101" s="1013"/>
      <c r="J101" s="1013"/>
      <c r="K101" s="1013"/>
    </row>
    <row r="102" spans="1:11" s="390" customFormat="1" x14ac:dyDescent="0.3">
      <c r="A102" s="1265"/>
      <c r="B102" s="2161"/>
      <c r="C102" s="2162"/>
      <c r="D102" s="441"/>
      <c r="E102" s="1014"/>
      <c r="F102" s="1014"/>
      <c r="G102" s="1015"/>
      <c r="H102" s="1013"/>
      <c r="I102" s="1013"/>
      <c r="J102" s="1013"/>
      <c r="K102" s="1013"/>
    </row>
    <row r="103" spans="1:11" s="390" customFormat="1" x14ac:dyDescent="0.3">
      <c r="A103" s="1265"/>
      <c r="B103" s="2161"/>
      <c r="C103" s="2162"/>
      <c r="D103" s="441"/>
      <c r="E103" s="1014"/>
      <c r="F103" s="1014"/>
      <c r="G103" s="1015"/>
      <c r="H103" s="1013"/>
      <c r="I103" s="1013"/>
      <c r="J103" s="1013"/>
      <c r="K103" s="1013"/>
    </row>
    <row r="104" spans="1:11" s="390" customFormat="1" x14ac:dyDescent="0.3">
      <c r="A104" s="1265"/>
      <c r="B104" s="2161"/>
      <c r="C104" s="2162"/>
      <c r="D104" s="441"/>
      <c r="E104" s="1014"/>
      <c r="F104" s="1014"/>
      <c r="G104" s="1015"/>
      <c r="H104" s="1013"/>
      <c r="I104" s="1013"/>
      <c r="J104" s="1013"/>
      <c r="K104" s="1013"/>
    </row>
    <row r="105" spans="1:11" s="390" customFormat="1" x14ac:dyDescent="0.3">
      <c r="A105" s="1265"/>
      <c r="B105" s="2161"/>
      <c r="C105" s="2162"/>
      <c r="D105" s="441"/>
      <c r="E105" s="1014"/>
      <c r="F105" s="1014"/>
      <c r="G105" s="1015"/>
      <c r="H105" s="1013"/>
      <c r="I105" s="1013"/>
      <c r="J105" s="1013"/>
      <c r="K105" s="1013"/>
    </row>
    <row r="106" spans="1:11" s="390" customFormat="1" x14ac:dyDescent="0.3">
      <c r="A106" s="1265"/>
      <c r="B106" s="2161"/>
      <c r="C106" s="2162"/>
      <c r="D106" s="441"/>
      <c r="E106" s="1014"/>
      <c r="F106" s="1014"/>
      <c r="G106" s="1015"/>
      <c r="H106" s="1013"/>
      <c r="I106" s="1013"/>
      <c r="J106" s="1013"/>
      <c r="K106" s="1013"/>
    </row>
    <row r="107" spans="1:11" s="390" customFormat="1" x14ac:dyDescent="0.3">
      <c r="A107" s="1265"/>
      <c r="B107" s="2161"/>
      <c r="C107" s="2162"/>
      <c r="D107" s="441"/>
      <c r="E107" s="1014"/>
      <c r="F107" s="1014"/>
      <c r="G107" s="1015"/>
      <c r="H107" s="1013"/>
      <c r="I107" s="1013"/>
      <c r="J107" s="1013"/>
      <c r="K107" s="1013"/>
    </row>
    <row r="108" spans="1:11" s="390" customFormat="1" x14ac:dyDescent="0.3">
      <c r="A108" s="1265"/>
      <c r="B108" s="2161"/>
      <c r="C108" s="2162"/>
      <c r="D108" s="441"/>
      <c r="E108" s="1014"/>
      <c r="F108" s="1014"/>
      <c r="G108" s="1015"/>
      <c r="H108" s="1013"/>
      <c r="I108" s="1013"/>
      <c r="J108" s="1013"/>
      <c r="K108" s="1013"/>
    </row>
    <row r="109" spans="1:11" s="390" customFormat="1" x14ac:dyDescent="0.3">
      <c r="A109" s="1265"/>
      <c r="B109" s="2161"/>
      <c r="C109" s="2162"/>
      <c r="D109" s="441"/>
      <c r="E109" s="1014"/>
      <c r="F109" s="1014"/>
      <c r="G109" s="1015"/>
      <c r="H109" s="1013"/>
      <c r="I109" s="1013"/>
      <c r="J109" s="1013"/>
      <c r="K109" s="1013"/>
    </row>
    <row r="110" spans="1:11" s="390" customFormat="1" x14ac:dyDescent="0.3">
      <c r="A110" s="1265"/>
      <c r="B110" s="2161"/>
      <c r="C110" s="2162"/>
      <c r="D110" s="441"/>
      <c r="E110" s="1014"/>
      <c r="F110" s="1014"/>
      <c r="G110" s="1015"/>
      <c r="H110" s="1013"/>
      <c r="I110" s="1013"/>
      <c r="J110" s="1013"/>
      <c r="K110" s="1013"/>
    </row>
    <row r="111" spans="1:11" s="424" customFormat="1" x14ac:dyDescent="0.3">
      <c r="A111" s="1265"/>
      <c r="B111" s="2161"/>
      <c r="C111" s="2162"/>
      <c r="D111" s="441"/>
      <c r="E111" s="1014"/>
      <c r="F111" s="1014"/>
      <c r="G111" s="979"/>
      <c r="H111" s="979"/>
      <c r="I111" s="979"/>
      <c r="J111" s="979"/>
      <c r="K111" s="979"/>
    </row>
    <row r="112" spans="1:11" s="424" customFormat="1" x14ac:dyDescent="0.3">
      <c r="A112" s="1265"/>
      <c r="B112" s="2161"/>
      <c r="C112" s="2162"/>
      <c r="D112" s="441"/>
      <c r="E112" s="1014"/>
      <c r="F112" s="1014"/>
      <c r="G112" s="979"/>
      <c r="H112" s="979"/>
      <c r="I112" s="979"/>
      <c r="J112" s="979"/>
      <c r="K112" s="979"/>
    </row>
    <row r="113" spans="1:11" s="424" customFormat="1" x14ac:dyDescent="0.3">
      <c r="A113" s="1265"/>
      <c r="B113" s="2161"/>
      <c r="C113" s="2162"/>
      <c r="D113" s="441"/>
      <c r="E113" s="1014"/>
      <c r="F113" s="1014"/>
      <c r="G113" s="979"/>
      <c r="H113" s="979"/>
      <c r="I113" s="979"/>
      <c r="J113" s="979"/>
      <c r="K113" s="979"/>
    </row>
    <row r="114" spans="1:11" s="424" customFormat="1" x14ac:dyDescent="0.3">
      <c r="A114" s="1265"/>
      <c r="B114" s="2161"/>
      <c r="C114" s="2162"/>
      <c r="D114" s="441"/>
      <c r="E114" s="1014"/>
      <c r="F114" s="1014"/>
      <c r="G114" s="979"/>
      <c r="H114" s="979"/>
      <c r="I114" s="979"/>
      <c r="J114" s="979"/>
      <c r="K114" s="979"/>
    </row>
    <row r="115" spans="1:11" s="424" customFormat="1" x14ac:dyDescent="0.3">
      <c r="A115" s="1265"/>
      <c r="B115" s="2161"/>
      <c r="C115" s="2162"/>
      <c r="D115" s="441"/>
      <c r="E115" s="1014"/>
      <c r="F115" s="1014"/>
      <c r="G115" s="979"/>
      <c r="H115" s="979"/>
      <c r="I115" s="979"/>
      <c r="J115" s="979"/>
      <c r="K115" s="979"/>
    </row>
    <row r="116" spans="1:11" s="424" customFormat="1" x14ac:dyDescent="0.3">
      <c r="A116" s="1265"/>
      <c r="B116" s="2161"/>
      <c r="C116" s="2162"/>
      <c r="D116" s="441"/>
      <c r="E116" s="1014"/>
      <c r="F116" s="1014"/>
      <c r="G116" s="979"/>
      <c r="H116" s="979"/>
      <c r="I116" s="979"/>
      <c r="J116" s="979"/>
      <c r="K116" s="979"/>
    </row>
    <row r="117" spans="1:11" s="424" customFormat="1" x14ac:dyDescent="0.3">
      <c r="A117" s="1265"/>
      <c r="B117" s="2161"/>
      <c r="C117" s="2162"/>
      <c r="D117" s="441"/>
      <c r="E117" s="1014"/>
      <c r="F117" s="1014"/>
      <c r="G117" s="979"/>
      <c r="H117" s="979"/>
      <c r="I117" s="979"/>
      <c r="J117" s="979"/>
      <c r="K117" s="979"/>
    </row>
    <row r="118" spans="1:11" s="424" customFormat="1" x14ac:dyDescent="0.3">
      <c r="A118" s="1265"/>
      <c r="B118" s="2161"/>
      <c r="C118" s="2162"/>
      <c r="D118" s="441"/>
      <c r="E118" s="1014"/>
      <c r="F118" s="1014"/>
      <c r="G118" s="979"/>
      <c r="H118" s="979"/>
      <c r="I118" s="979"/>
      <c r="J118" s="979"/>
      <c r="K118" s="979"/>
    </row>
    <row r="119" spans="1:11" s="424" customFormat="1" x14ac:dyDescent="0.3">
      <c r="A119" s="1265"/>
      <c r="B119" s="2161"/>
      <c r="C119" s="2162"/>
      <c r="D119" s="441"/>
      <c r="E119" s="1014"/>
      <c r="F119" s="1014"/>
      <c r="G119" s="979"/>
      <c r="H119" s="979"/>
      <c r="I119" s="979"/>
      <c r="J119" s="979"/>
      <c r="K119" s="979"/>
    </row>
    <row r="120" spans="1:11" s="424" customFormat="1" x14ac:dyDescent="0.3">
      <c r="A120" s="1265"/>
      <c r="B120" s="2161"/>
      <c r="C120" s="2162"/>
      <c r="D120" s="441"/>
      <c r="E120" s="1014"/>
      <c r="F120" s="1014"/>
      <c r="G120" s="979"/>
      <c r="H120" s="979"/>
      <c r="I120" s="979"/>
      <c r="J120" s="979"/>
      <c r="K120" s="979"/>
    </row>
    <row r="121" spans="1:11" s="424" customFormat="1" x14ac:dyDescent="0.3">
      <c r="A121" s="1265"/>
      <c r="B121" s="2161"/>
      <c r="C121" s="2162"/>
      <c r="D121" s="441"/>
      <c r="E121" s="1014"/>
      <c r="F121" s="1014"/>
      <c r="G121" s="979"/>
      <c r="H121" s="979"/>
      <c r="I121" s="979"/>
      <c r="J121" s="979"/>
      <c r="K121" s="979"/>
    </row>
    <row r="122" spans="1:11" s="424" customFormat="1" x14ac:dyDescent="0.3">
      <c r="A122" s="1265"/>
      <c r="B122" s="2161"/>
      <c r="C122" s="2162"/>
      <c r="D122" s="441"/>
      <c r="E122" s="1014"/>
      <c r="F122" s="1014"/>
      <c r="G122" s="979"/>
      <c r="H122" s="979"/>
      <c r="I122" s="979"/>
      <c r="J122" s="979"/>
      <c r="K122" s="979"/>
    </row>
    <row r="123" spans="1:11" s="424" customFormat="1" x14ac:dyDescent="0.3">
      <c r="A123" s="1265"/>
      <c r="B123" s="2161"/>
      <c r="C123" s="2162"/>
      <c r="D123" s="441"/>
      <c r="E123" s="1014"/>
      <c r="F123" s="1014"/>
      <c r="G123" s="979"/>
      <c r="H123" s="979"/>
      <c r="I123" s="979"/>
      <c r="J123" s="979"/>
      <c r="K123" s="979"/>
    </row>
    <row r="124" spans="1:11" s="424" customFormat="1" x14ac:dyDescent="0.3">
      <c r="A124" s="1265"/>
      <c r="B124" s="2161"/>
      <c r="C124" s="2162"/>
      <c r="D124" s="441"/>
      <c r="E124" s="1014"/>
      <c r="F124" s="1014"/>
      <c r="G124" s="979"/>
      <c r="H124" s="979"/>
      <c r="I124" s="979"/>
      <c r="J124" s="979"/>
      <c r="K124" s="979"/>
    </row>
    <row r="125" spans="1:11" s="424" customFormat="1" x14ac:dyDescent="0.3">
      <c r="A125" s="1265"/>
      <c r="B125" s="2161"/>
      <c r="C125" s="2162"/>
      <c r="D125" s="441"/>
      <c r="E125" s="1014"/>
      <c r="F125" s="1014"/>
      <c r="G125" s="979"/>
      <c r="H125" s="979"/>
      <c r="I125" s="979"/>
      <c r="J125" s="979"/>
      <c r="K125" s="979"/>
    </row>
    <row r="126" spans="1:11" s="424" customFormat="1" x14ac:dyDescent="0.3">
      <c r="A126" s="1265"/>
      <c r="B126" s="2161"/>
      <c r="C126" s="2162"/>
      <c r="D126" s="441"/>
      <c r="E126" s="1014"/>
      <c r="F126" s="1014"/>
      <c r="G126" s="979"/>
      <c r="H126" s="979"/>
      <c r="I126" s="979"/>
      <c r="J126" s="979"/>
      <c r="K126" s="979"/>
    </row>
    <row r="127" spans="1:11" s="424" customFormat="1" x14ac:dyDescent="0.3">
      <c r="A127" s="1265"/>
      <c r="B127" s="2161"/>
      <c r="C127" s="2162"/>
      <c r="D127" s="441"/>
      <c r="E127" s="1014"/>
      <c r="F127" s="1014"/>
      <c r="G127" s="979"/>
      <c r="H127" s="979"/>
      <c r="I127" s="979"/>
      <c r="J127" s="979"/>
      <c r="K127" s="979"/>
    </row>
    <row r="128" spans="1:11" s="424" customFormat="1" x14ac:dyDescent="0.3">
      <c r="A128" s="1265"/>
      <c r="B128" s="2161"/>
      <c r="C128" s="2162"/>
      <c r="D128" s="441"/>
      <c r="E128" s="1014"/>
      <c r="F128" s="1014"/>
      <c r="G128" s="979"/>
      <c r="H128" s="979"/>
      <c r="I128" s="979"/>
      <c r="J128" s="979"/>
      <c r="K128" s="979"/>
    </row>
    <row r="129" spans="1:11" s="424" customFormat="1" x14ac:dyDescent="0.3">
      <c r="A129" s="1265"/>
      <c r="B129" s="2161"/>
      <c r="C129" s="2162"/>
      <c r="D129" s="441"/>
      <c r="E129" s="1014"/>
      <c r="F129" s="1014"/>
      <c r="G129" s="979"/>
      <c r="H129" s="979"/>
      <c r="I129" s="979"/>
      <c r="J129" s="979"/>
      <c r="K129" s="979"/>
    </row>
    <row r="130" spans="1:11" s="424" customFormat="1" x14ac:dyDescent="0.3">
      <c r="A130" s="1265"/>
      <c r="B130" s="2161"/>
      <c r="C130" s="2162"/>
      <c r="D130" s="441"/>
      <c r="E130" s="1014"/>
      <c r="F130" s="1014"/>
      <c r="G130" s="979"/>
      <c r="H130" s="979"/>
      <c r="I130" s="979"/>
      <c r="J130" s="979"/>
      <c r="K130" s="979"/>
    </row>
    <row r="131" spans="1:11" s="424" customFormat="1" x14ac:dyDescent="0.3">
      <c r="A131" s="1265"/>
      <c r="B131" s="2161"/>
      <c r="C131" s="2162"/>
      <c r="D131" s="441"/>
      <c r="E131" s="1014"/>
      <c r="F131" s="1014"/>
      <c r="G131" s="979"/>
      <c r="H131" s="979"/>
      <c r="I131" s="979"/>
      <c r="J131" s="979"/>
      <c r="K131" s="979"/>
    </row>
    <row r="132" spans="1:11" s="424" customFormat="1" x14ac:dyDescent="0.3">
      <c r="A132" s="1265"/>
      <c r="B132" s="2161"/>
      <c r="C132" s="2162"/>
      <c r="D132" s="441"/>
      <c r="E132" s="1014"/>
      <c r="F132" s="1014"/>
      <c r="G132" s="979"/>
      <c r="H132" s="979"/>
      <c r="I132" s="979"/>
      <c r="J132" s="979"/>
      <c r="K132" s="979"/>
    </row>
    <row r="133" spans="1:11" s="424" customFormat="1" x14ac:dyDescent="0.3">
      <c r="A133" s="1265"/>
      <c r="B133" s="2161"/>
      <c r="C133" s="2162"/>
      <c r="D133" s="441"/>
      <c r="E133" s="1014"/>
      <c r="F133" s="1014"/>
      <c r="G133" s="979"/>
      <c r="H133" s="979"/>
      <c r="I133" s="979"/>
      <c r="J133" s="979"/>
      <c r="K133" s="979"/>
    </row>
    <row r="134" spans="1:11" s="424" customFormat="1" x14ac:dyDescent="0.3">
      <c r="A134" s="1265"/>
      <c r="B134" s="2161"/>
      <c r="C134" s="2162"/>
      <c r="D134" s="441"/>
      <c r="E134" s="1014"/>
      <c r="F134" s="1014"/>
      <c r="G134" s="979"/>
      <c r="H134" s="979"/>
      <c r="I134" s="979"/>
      <c r="J134" s="979"/>
      <c r="K134" s="979"/>
    </row>
    <row r="135" spans="1:11" s="424" customFormat="1" x14ac:dyDescent="0.3">
      <c r="A135" s="1265"/>
      <c r="B135" s="2161"/>
      <c r="C135" s="2162"/>
      <c r="D135" s="441"/>
      <c r="E135" s="1014"/>
      <c r="F135" s="1014"/>
      <c r="G135" s="979"/>
      <c r="H135" s="979"/>
      <c r="I135" s="979"/>
      <c r="J135" s="979"/>
      <c r="K135" s="979"/>
    </row>
    <row r="195" spans="1:14" hidden="1" x14ac:dyDescent="0.3"/>
    <row r="196" spans="1:14" hidden="1" x14ac:dyDescent="0.3"/>
    <row r="197" spans="1:14" hidden="1" x14ac:dyDescent="0.3"/>
    <row r="198" spans="1:14" hidden="1" x14ac:dyDescent="0.3"/>
    <row r="199" spans="1:14" hidden="1" x14ac:dyDescent="0.3">
      <c r="A199" s="455" t="s">
        <v>707</v>
      </c>
      <c r="B199" s="455" t="s">
        <v>843</v>
      </c>
      <c r="C199" s="455" t="s">
        <v>698</v>
      </c>
      <c r="D199" s="455" t="s">
        <v>844</v>
      </c>
      <c r="E199" s="1017" t="s">
        <v>845</v>
      </c>
      <c r="F199" s="1018" t="s">
        <v>846</v>
      </c>
      <c r="G199" s="1006"/>
      <c r="H199" s="1017" t="s">
        <v>847</v>
      </c>
      <c r="I199" s="1017" t="s">
        <v>848</v>
      </c>
      <c r="J199" s="1017" t="s">
        <v>849</v>
      </c>
      <c r="K199" s="1017" t="s">
        <v>850</v>
      </c>
      <c r="L199" s="455" t="s">
        <v>851</v>
      </c>
      <c r="M199" s="455" t="s">
        <v>852</v>
      </c>
      <c r="N199"/>
    </row>
    <row r="200" spans="1:14" hidden="1" x14ac:dyDescent="0.3">
      <c r="A200" t="s">
        <v>853</v>
      </c>
      <c r="B200" t="s">
        <v>157</v>
      </c>
      <c r="C200" t="s">
        <v>703</v>
      </c>
      <c r="D200" t="s">
        <v>854</v>
      </c>
      <c r="E200" s="1006" t="s">
        <v>155</v>
      </c>
      <c r="F200" s="1019" t="s">
        <v>855</v>
      </c>
      <c r="G200" s="1006"/>
      <c r="H200" s="1006" t="s">
        <v>856</v>
      </c>
      <c r="I200" s="1006" t="s">
        <v>857</v>
      </c>
      <c r="J200" s="1006" t="s">
        <v>154</v>
      </c>
      <c r="K200" s="1006" t="s">
        <v>858</v>
      </c>
      <c r="L200" s="456" t="s">
        <v>859</v>
      </c>
      <c r="M200" t="s">
        <v>860</v>
      </c>
      <c r="N200"/>
    </row>
    <row r="201" spans="1:14" hidden="1" x14ac:dyDescent="0.3">
      <c r="A201" t="s">
        <v>702</v>
      </c>
      <c r="B201" t="s">
        <v>132</v>
      </c>
      <c r="C201" t="s">
        <v>701</v>
      </c>
      <c r="D201" t="s">
        <v>133</v>
      </c>
      <c r="E201" s="1006" t="s">
        <v>861</v>
      </c>
      <c r="F201" s="1019" t="s">
        <v>862</v>
      </c>
      <c r="G201" s="1006"/>
      <c r="H201" s="1006" t="s">
        <v>863</v>
      </c>
      <c r="I201" s="1006" t="s">
        <v>702</v>
      </c>
      <c r="J201" s="1006" t="s">
        <v>133</v>
      </c>
      <c r="K201" s="1006" t="s">
        <v>861</v>
      </c>
      <c r="L201" s="456" t="s">
        <v>864</v>
      </c>
      <c r="M201" t="s">
        <v>865</v>
      </c>
      <c r="N201"/>
    </row>
    <row r="202" spans="1:14" hidden="1" x14ac:dyDescent="0.3">
      <c r="A202" t="s">
        <v>700</v>
      </c>
      <c r="B202" t="s">
        <v>155</v>
      </c>
      <c r="C202" t="s">
        <v>1699</v>
      </c>
      <c r="D202" t="s">
        <v>156</v>
      </c>
      <c r="E202" s="1006" t="s">
        <v>157</v>
      </c>
      <c r="F202" s="1020" t="s">
        <v>866</v>
      </c>
      <c r="G202" s="1006"/>
      <c r="H202" s="1006" t="s">
        <v>867</v>
      </c>
      <c r="I202" s="1006" t="s">
        <v>868</v>
      </c>
      <c r="J202" s="1006" t="s">
        <v>156</v>
      </c>
      <c r="K202" s="1006" t="s">
        <v>869</v>
      </c>
      <c r="L202" s="456" t="s">
        <v>870</v>
      </c>
      <c r="M202" t="s">
        <v>871</v>
      </c>
      <c r="N202"/>
    </row>
    <row r="203" spans="1:14" hidden="1" x14ac:dyDescent="0.3">
      <c r="A203" t="s">
        <v>1699</v>
      </c>
      <c r="B203" t="s">
        <v>1699</v>
      </c>
      <c r="C203"/>
      <c r="D203"/>
      <c r="E203" s="1006"/>
      <c r="F203" s="1020" t="s">
        <v>872</v>
      </c>
      <c r="G203" s="1006"/>
      <c r="H203" s="1006"/>
      <c r="I203" s="1006"/>
      <c r="J203" s="1006"/>
      <c r="K203" s="1006"/>
      <c r="L203" s="456" t="s">
        <v>873</v>
      </c>
      <c r="M203" t="s">
        <v>874</v>
      </c>
      <c r="N203"/>
    </row>
    <row r="204" spans="1:14" hidden="1" x14ac:dyDescent="0.3">
      <c r="A204"/>
      <c r="B204"/>
      <c r="C204"/>
      <c r="D204"/>
      <c r="E204" s="1006"/>
      <c r="F204" s="1020" t="s">
        <v>680</v>
      </c>
      <c r="G204" s="1006"/>
      <c r="H204" s="1006"/>
      <c r="I204" s="1006"/>
      <c r="J204" s="1006"/>
      <c r="K204" s="1006"/>
      <c r="L204"/>
      <c r="M204" t="s">
        <v>500</v>
      </c>
      <c r="N204"/>
    </row>
    <row r="205" spans="1:14" hidden="1" x14ac:dyDescent="0.3">
      <c r="A205"/>
      <c r="B205"/>
      <c r="C205"/>
      <c r="D205"/>
      <c r="E205" s="1006"/>
      <c r="F205" s="1006"/>
      <c r="G205" s="1006"/>
      <c r="H205" s="1006"/>
      <c r="I205" s="1006"/>
      <c r="J205" s="1006"/>
      <c r="K205" s="1006"/>
      <c r="L205"/>
      <c r="M205" t="s">
        <v>875</v>
      </c>
      <c r="N205"/>
    </row>
    <row r="206" spans="1:14" ht="28.8" hidden="1" x14ac:dyDescent="0.3">
      <c r="A206"/>
      <c r="B206"/>
      <c r="C206"/>
      <c r="D206"/>
      <c r="E206" s="1006"/>
      <c r="F206" s="1019" t="s">
        <v>876</v>
      </c>
      <c r="G206" s="1006"/>
      <c r="H206" s="1006"/>
      <c r="I206" s="1006"/>
      <c r="J206" s="1006"/>
      <c r="K206" s="1006"/>
      <c r="L206"/>
      <c r="M206" t="s">
        <v>877</v>
      </c>
      <c r="N206"/>
    </row>
    <row r="207" spans="1:14" hidden="1" x14ac:dyDescent="0.3">
      <c r="A207"/>
      <c r="B207"/>
      <c r="C207"/>
      <c r="D207"/>
      <c r="E207" s="1006"/>
      <c r="F207" s="1006"/>
      <c r="G207" s="1006"/>
      <c r="H207" s="1006"/>
      <c r="I207" s="1006"/>
      <c r="J207" s="1006"/>
      <c r="K207" s="1006"/>
      <c r="L207"/>
      <c r="M207"/>
      <c r="N207"/>
    </row>
    <row r="208" spans="1:14"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sheetData>
  <sheetProtection algorithmName="SHA-512" hashValue="dxYELHNkclTBcsg3bZ7/yHwteeB+kfa8y4uZb4LaFChoym7mGivBKx/XWbFBkkLGcemJlCLNPsbHd8tE/5lSJA==" saltValue="PGCdTGN+RegMUeFJzgW77A==" spinCount="100000" sheet="1" objects="1" scenarios="1"/>
  <mergeCells count="144">
    <mergeCell ref="A14:F14"/>
    <mergeCell ref="A15:F15"/>
    <mergeCell ref="A6:A7"/>
    <mergeCell ref="B9:C9"/>
    <mergeCell ref="B10:C10"/>
    <mergeCell ref="B11:C11"/>
    <mergeCell ref="B6:F6"/>
    <mergeCell ref="B7:F7"/>
    <mergeCell ref="B8:F8"/>
    <mergeCell ref="A27:B27"/>
    <mergeCell ref="A28:B28"/>
    <mergeCell ref="A29:B29"/>
    <mergeCell ref="A31:D31"/>
    <mergeCell ref="A32:D32"/>
    <mergeCell ref="E32:F32"/>
    <mergeCell ref="A18:F18"/>
    <mergeCell ref="A20:B20"/>
    <mergeCell ref="A21:B21"/>
    <mergeCell ref="A22:B22"/>
    <mergeCell ref="A24:B24"/>
    <mergeCell ref="A25:B25"/>
    <mergeCell ref="A19:F19"/>
    <mergeCell ref="A34:B35"/>
    <mergeCell ref="C34:C35"/>
    <mergeCell ref="D34:D35"/>
    <mergeCell ref="A37:D37"/>
    <mergeCell ref="E37:F37"/>
    <mergeCell ref="G37:J37"/>
    <mergeCell ref="G32:J32"/>
    <mergeCell ref="K32:L32"/>
    <mergeCell ref="A33:B33"/>
    <mergeCell ref="E33:F33"/>
    <mergeCell ref="G33:J33"/>
    <mergeCell ref="K33:L33"/>
    <mergeCell ref="A47:B47"/>
    <mergeCell ref="A48:B48"/>
    <mergeCell ref="A49:B49"/>
    <mergeCell ref="K37:L37"/>
    <mergeCell ref="A38:B38"/>
    <mergeCell ref="E38:F38"/>
    <mergeCell ref="G38:J38"/>
    <mergeCell ref="K38:L38"/>
    <mergeCell ref="A39:B40"/>
    <mergeCell ref="C39:C40"/>
    <mergeCell ref="D39:D40"/>
    <mergeCell ref="A44:B44"/>
    <mergeCell ref="A45:B45"/>
    <mergeCell ref="A46:B46"/>
    <mergeCell ref="A43:B43"/>
    <mergeCell ref="A42:D42"/>
    <mergeCell ref="A59:F59"/>
    <mergeCell ref="A67:F67"/>
    <mergeCell ref="A68:F68"/>
    <mergeCell ref="A69:F69"/>
    <mergeCell ref="A70:B70"/>
    <mergeCell ref="C70:D70"/>
    <mergeCell ref="A52:F52"/>
    <mergeCell ref="A53:F56"/>
    <mergeCell ref="A58:F58"/>
    <mergeCell ref="A75:B75"/>
    <mergeCell ref="C75:D75"/>
    <mergeCell ref="A76:B76"/>
    <mergeCell ref="C76:D76"/>
    <mergeCell ref="A77:B77"/>
    <mergeCell ref="C77:D77"/>
    <mergeCell ref="A71:B71"/>
    <mergeCell ref="C71:D71"/>
    <mergeCell ref="A72:B72"/>
    <mergeCell ref="C72:D72"/>
    <mergeCell ref="A73:F73"/>
    <mergeCell ref="A74:B74"/>
    <mergeCell ref="C74:D74"/>
    <mergeCell ref="A81:B81"/>
    <mergeCell ref="C81:D81"/>
    <mergeCell ref="A83:F83"/>
    <mergeCell ref="A84:F84"/>
    <mergeCell ref="B85:C85"/>
    <mergeCell ref="E85:F85"/>
    <mergeCell ref="A78:B78"/>
    <mergeCell ref="C78:D78"/>
    <mergeCell ref="A79:B79"/>
    <mergeCell ref="C79:D79"/>
    <mergeCell ref="A80:B80"/>
    <mergeCell ref="C80:D80"/>
    <mergeCell ref="B89:C89"/>
    <mergeCell ref="E89:F89"/>
    <mergeCell ref="B90:C90"/>
    <mergeCell ref="E90:F90"/>
    <mergeCell ref="B91:C91"/>
    <mergeCell ref="E91:F91"/>
    <mergeCell ref="B86:C86"/>
    <mergeCell ref="E86:F86"/>
    <mergeCell ref="B87:C87"/>
    <mergeCell ref="E87:F87"/>
    <mergeCell ref="B88:C88"/>
    <mergeCell ref="E88:F88"/>
    <mergeCell ref="B97:C97"/>
    <mergeCell ref="B98:C98"/>
    <mergeCell ref="B99:C99"/>
    <mergeCell ref="B100:C100"/>
    <mergeCell ref="B101:C101"/>
    <mergeCell ref="B102:C102"/>
    <mergeCell ref="B92:C92"/>
    <mergeCell ref="E92:F92"/>
    <mergeCell ref="B93:C93"/>
    <mergeCell ref="E93:F93"/>
    <mergeCell ref="B95:C95"/>
    <mergeCell ref="B96:C96"/>
    <mergeCell ref="B109:C109"/>
    <mergeCell ref="B110:C110"/>
    <mergeCell ref="B111:C111"/>
    <mergeCell ref="B112:C112"/>
    <mergeCell ref="B113:C113"/>
    <mergeCell ref="B114:C114"/>
    <mergeCell ref="B103:C103"/>
    <mergeCell ref="B104:C104"/>
    <mergeCell ref="B105:C105"/>
    <mergeCell ref="B106:C106"/>
    <mergeCell ref="B107:C107"/>
    <mergeCell ref="B108:C108"/>
    <mergeCell ref="H2:H3"/>
    <mergeCell ref="A2:A3"/>
    <mergeCell ref="B2:G3"/>
    <mergeCell ref="B133:C133"/>
    <mergeCell ref="B134:C134"/>
    <mergeCell ref="B135:C135"/>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5:C115"/>
    <mergeCell ref="B116:C116"/>
    <mergeCell ref="B117:C117"/>
    <mergeCell ref="B118:C118"/>
    <mergeCell ref="B119:C119"/>
    <mergeCell ref="B120:C120"/>
  </mergeCells>
  <conditionalFormatting sqref="A21">
    <cfRule type="containsText" dxfId="133" priority="48" operator="containsText" text="Negativa o abstención">
      <formula>NOT(ISERROR(SEARCH("Negativa o abstención",A21)))</formula>
    </cfRule>
    <cfRule type="containsText" dxfId="132" priority="49" operator="containsText" text="Negativa o abstención">
      <formula>NOT(ISERROR(SEARCH("Negativa o abstención",A21)))</formula>
    </cfRule>
    <cfRule type="containsText" dxfId="131" priority="50" operator="containsText" text="Sin salvedades">
      <formula>NOT(ISERROR(SEARCH("Sin salvedades",A21)))</formula>
    </cfRule>
    <cfRule type="containsText" dxfId="130" priority="51" operator="containsText" text="Sin salvedades">
      <formula>NOT(ISERROR(SEARCH("Sin salvedades",A21)))</formula>
    </cfRule>
    <cfRule type="containsText" dxfId="129" priority="52" operator="containsText" text="Con salvedades">
      <formula>NOT(ISERROR(SEARCH("Con salvedades",A21)))</formula>
    </cfRule>
    <cfRule type="containsText" dxfId="128" priority="53" operator="containsText" text="Con salvedades">
      <formula>NOT(ISERROR(SEARCH("Con salvedades",A21)))</formula>
    </cfRule>
    <cfRule type="containsText" dxfId="127" priority="54" operator="containsText" text="Negativa o abstención">
      <formula>NOT(ISERROR(SEARCH("Negativa o abstención",A21)))</formula>
    </cfRule>
    <cfRule type="containsText" dxfId="126" priority="55" operator="containsText" text="Con salvedades">
      <formula>NOT(ISERROR(SEARCH("Con salvedades",A21)))</formula>
    </cfRule>
    <cfRule type="containsText" dxfId="125" priority="56" operator="containsText" text="Con salvedades">
      <formula>NOT(ISERROR(SEARCH("Con salvedades",A21)))</formula>
    </cfRule>
    <cfRule type="containsText" dxfId="124" priority="57" operator="containsText" text="Sin salvedades">
      <formula>NOT(ISERROR(SEARCH("Sin salvedades",A21)))</formula>
    </cfRule>
  </conditionalFormatting>
  <conditionalFormatting sqref="A22">
    <cfRule type="containsText" dxfId="123" priority="58" operator="containsText" text="2">
      <formula>NOT(ISERROR(SEARCH("2",A22)))</formula>
    </cfRule>
    <cfRule type="containsText" dxfId="122" priority="59" operator="containsText" text="1">
      <formula>NOT(ISERROR(SEARCH("1",A22)))</formula>
    </cfRule>
    <cfRule type="containsText" dxfId="121" priority="60" operator="containsText" text="1">
      <formula>NOT(ISERROR(SEARCH("1",A22)))</formula>
    </cfRule>
    <cfRule type="containsText" dxfId="120" priority="61" operator="containsText" text="0">
      <formula>NOT(ISERROR(SEARCH("0",A22)))</formula>
    </cfRule>
    <cfRule type="containsText" dxfId="119" priority="62" operator="containsText" text="3">
      <formula>NOT(ISERROR(SEARCH("3",A22)))</formula>
    </cfRule>
    <cfRule type="containsText" dxfId="118" priority="63" operator="containsText" text="3">
      <formula>NOT(ISERROR(SEARCH("3",A22)))</formula>
    </cfRule>
    <cfRule type="containsText" dxfId="117" priority="64" operator="containsText" text="1">
      <formula>NOT(ISERROR(SEARCH("1",A22)))</formula>
    </cfRule>
    <cfRule type="containsText" dxfId="116" priority="65" operator="containsText" text="0">
      <formula>NOT(ISERROR(SEARCH("0",A22)))</formula>
    </cfRule>
    <cfRule type="containsText" dxfId="115" priority="66" operator="containsText" text="Eficiente">
      <formula>NOT(ISERROR(SEARCH("Eficiente",A22)))</formula>
    </cfRule>
  </conditionalFormatting>
  <conditionalFormatting sqref="C21">
    <cfRule type="containsText" dxfId="114" priority="44" operator="containsText" text="Ineficiente">
      <formula>NOT(ISERROR(SEARCH("Ineficiente",C21)))</formula>
    </cfRule>
    <cfRule type="containsText" dxfId="113" priority="45" operator="containsText" text="Ineficiente">
      <formula>NOT(ISERROR(SEARCH("Ineficiente",C21)))</formula>
    </cfRule>
    <cfRule type="containsText" dxfId="112" priority="46" operator="containsText" text="Con deficiencias">
      <formula>NOT(ISERROR(SEARCH("Con deficiencias",C21)))</formula>
    </cfRule>
    <cfRule type="containsText" dxfId="111" priority="47" operator="containsText" text="Eficiente">
      <formula>NOT(ISERROR(SEARCH("Eficiente",C21)))</formula>
    </cfRule>
  </conditionalFormatting>
  <conditionalFormatting sqref="C22:F22">
    <cfRule type="containsText" dxfId="110" priority="3" operator="containsText" text="2">
      <formula>NOT(ISERROR(SEARCH("2",C22)))</formula>
    </cfRule>
    <cfRule type="containsText" dxfId="109" priority="4" operator="containsText" text="1">
      <formula>NOT(ISERROR(SEARCH("1",C22)))</formula>
    </cfRule>
    <cfRule type="containsText" dxfId="108" priority="5" operator="containsText" text="1">
      <formula>NOT(ISERROR(SEARCH("1",C22)))</formula>
    </cfRule>
    <cfRule type="containsText" dxfId="107" priority="6" operator="containsText" text="0">
      <formula>NOT(ISERROR(SEARCH("0",C22)))</formula>
    </cfRule>
    <cfRule type="containsText" dxfId="106" priority="7" operator="containsText" text="3">
      <formula>NOT(ISERROR(SEARCH("3",C22)))</formula>
    </cfRule>
    <cfRule type="containsText" dxfId="105" priority="8" operator="containsText" text="3">
      <formula>NOT(ISERROR(SEARCH("3",C22)))</formula>
    </cfRule>
    <cfRule type="containsText" dxfId="104" priority="9" operator="containsText" text="1">
      <formula>NOT(ISERROR(SEARCH("1",C22)))</formula>
    </cfRule>
    <cfRule type="containsText" dxfId="103" priority="10" operator="containsText" text="0">
      <formula>NOT(ISERROR(SEARCH("0",C22)))</formula>
    </cfRule>
    <cfRule type="containsText" dxfId="102" priority="11" operator="containsText" text="Eficiente">
      <formula>NOT(ISERROR(SEARCH("Eficiente",C22)))</formula>
    </cfRule>
  </conditionalFormatting>
  <conditionalFormatting sqref="D21">
    <cfRule type="containsText" dxfId="101" priority="31" operator="containsText" text="No fenecida">
      <formula>NOT(ISERROR(SEARCH("No fenecida",D21)))</formula>
    </cfRule>
    <cfRule type="containsText" dxfId="100" priority="32" operator="containsText" text="No fenecida">
      <formula>NOT(ISERROR(SEARCH("No fenecida",D21)))</formula>
    </cfRule>
    <cfRule type="containsText" dxfId="99" priority="33" operator="containsText" text="Fenecida">
      <formula>NOT(ISERROR(SEARCH("Fenecida",D21)))</formula>
    </cfRule>
    <cfRule type="containsText" dxfId="98" priority="34" operator="containsText" text="Negativa o abstención">
      <formula>NOT(ISERROR(SEARCH("Negativa o abstención",D21)))</formula>
    </cfRule>
    <cfRule type="containsText" dxfId="97" priority="35" operator="containsText" text="Negativa o abstención">
      <formula>NOT(ISERROR(SEARCH("Negativa o abstención",D21)))</formula>
    </cfRule>
    <cfRule type="containsText" dxfId="96" priority="36" operator="containsText" text="Sin salvedades">
      <formula>NOT(ISERROR(SEARCH("Sin salvedades",D21)))</formula>
    </cfRule>
    <cfRule type="containsText" dxfId="95" priority="37" operator="containsText" text="Sin salvedades">
      <formula>NOT(ISERROR(SEARCH("Sin salvedades",D21)))</formula>
    </cfRule>
    <cfRule type="containsText" dxfId="94" priority="38" operator="containsText" text="Con salvedades">
      <formula>NOT(ISERROR(SEARCH("Con salvedades",D21)))</formula>
    </cfRule>
    <cfRule type="containsText" dxfId="93" priority="39" operator="containsText" text="Con salvedades">
      <formula>NOT(ISERROR(SEARCH("Con salvedades",D21)))</formula>
    </cfRule>
    <cfRule type="containsText" dxfId="92" priority="40" operator="containsText" text="Negativa o abstención">
      <formula>NOT(ISERROR(SEARCH("Negativa o abstención",D21)))</formula>
    </cfRule>
    <cfRule type="containsText" dxfId="91" priority="41" operator="containsText" text="Con salvedades">
      <formula>NOT(ISERROR(SEARCH("Con salvedades",D21)))</formula>
    </cfRule>
    <cfRule type="containsText" dxfId="90" priority="42" operator="containsText" text="Con salvedades">
      <formula>NOT(ISERROR(SEARCH("Con salvedades",D21)))</formula>
    </cfRule>
    <cfRule type="containsText" dxfId="89" priority="43" operator="containsText" text="Sin salvedades">
      <formula>NOT(ISERROR(SEARCH("Sin salvedades",D21)))</formula>
    </cfRule>
  </conditionalFormatting>
  <conditionalFormatting sqref="E11">
    <cfRule type="colorScale" priority="30">
      <colorScale>
        <cfvo type="min"/>
        <cfvo type="max"/>
        <color rgb="FF63BE7B"/>
        <color rgb="FFFCFCFF"/>
      </colorScale>
    </cfRule>
  </conditionalFormatting>
  <conditionalFormatting sqref="E21">
    <cfRule type="containsText" dxfId="88" priority="12" operator="containsText" text="Ineficiente">
      <formula>NOT(ISERROR(SEARCH("Ineficiente",E21)))</formula>
    </cfRule>
    <cfRule type="containsText" dxfId="87" priority="13" operator="containsText" text="Medio">
      <formula>NOT(ISERROR(SEARCH("Medio",E21)))</formula>
    </cfRule>
    <cfRule type="containsText" dxfId="86" priority="14" operator="containsText" text="Eficiente">
      <formula>NOT(ISERROR(SEARCH("Eficiente",E21)))</formula>
    </cfRule>
  </conditionalFormatting>
  <conditionalFormatting sqref="F21">
    <cfRule type="containsText" dxfId="85" priority="24" operator="containsText" text="Alto">
      <formula>NOT(ISERROR(SEARCH("Alto",F21)))</formula>
    </cfRule>
    <cfRule type="containsText" dxfId="84" priority="25" operator="containsText" text="Medio">
      <formula>NOT(ISERROR(SEARCH("Medio",F21)))</formula>
    </cfRule>
    <cfRule type="containsText" dxfId="83" priority="26" operator="containsText" text="Bajo">
      <formula>NOT(ISERROR(SEARCH("Bajo",F21)))</formula>
    </cfRule>
  </conditionalFormatting>
  <conditionalFormatting sqref="P10">
    <cfRule type="colorScale" priority="29">
      <colorScale>
        <cfvo type="min"/>
        <cfvo type="max"/>
        <color rgb="FF63BE7B"/>
        <color rgb="FFFCFCFF"/>
      </colorScale>
    </cfRule>
  </conditionalFormatting>
  <conditionalFormatting sqref="AT11:AU11">
    <cfRule type="cellIs" dxfId="82" priority="27" operator="lessThanOrEqual">
      <formula>1</formula>
    </cfRule>
    <cfRule type="cellIs" dxfId="81" priority="28" operator="greaterThanOrEqual">
      <formula>1</formula>
    </cfRule>
  </conditionalFormatting>
  <conditionalFormatting sqref="A2:B2">
    <cfRule type="cellIs" dxfId="80" priority="1" operator="equal">
      <formula>"ERROR"</formula>
    </cfRule>
  </conditionalFormatting>
  <dataValidations count="9">
    <dataValidation type="list" allowBlank="1" showInputMessage="1" showErrorMessage="1" sqref="F21">
      <formula1>$D$200:$D$202</formula1>
    </dataValidation>
    <dataValidation type="list" allowBlank="1" showInputMessage="1" showErrorMessage="1" sqref="E21">
      <formula1>$E$200:$E$202</formula1>
    </dataValidation>
    <dataValidation type="list" allowBlank="1" showInputMessage="1" showErrorMessage="1" sqref="D21">
      <formula1>$C$200:$C$202</formula1>
    </dataValidation>
    <dataValidation type="list" allowBlank="1" showInputMessage="1" showErrorMessage="1" sqref="C21">
      <formula1>$B$200:$B$203</formula1>
    </dataValidation>
    <dataValidation type="list" allowBlank="1" showInputMessage="1" showErrorMessage="1" sqref="A21:B21">
      <formula1>$A$200:$A$203</formula1>
    </dataValidation>
    <dataValidation type="list" allowBlank="1" showInputMessage="1" showErrorMessage="1" sqref="A71:A72 A75:A81">
      <formula1>"60%,61%,62%,63%,64%,65%,66%,67%,68%,69%,70%,71%,72%,73%,74%,75%,76%,77%,78%,79%,80%"</formula1>
    </dataValidation>
    <dataValidation type="list" allowBlank="1" showInputMessage="1" showErrorMessage="1" sqref="B61:B65">
      <formula1>"2%,3%,4%,5%"</formula1>
    </dataValidation>
    <dataValidation type="list" allowBlank="1" showInputMessage="1" showErrorMessage="1" sqref="A86:A93">
      <formula1>"2%,3%,4%,5%,6%,7%,8%"</formula1>
    </dataValidation>
    <dataValidation type="decimal" operator="greaterThan" allowBlank="1" showInputMessage="1" showErrorMessage="1" sqref="A34">
      <formula1>0</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'C:\Users\USER\Documents\Matrices Auditoria Financiera de gestion y resultados\[PVCGF- 04-13 Instrumento para la Calificación a la Gestión Fiscal AFGR 230824.xlsm]DATOS ANÁLISIS'!#REF!</xm:f>
          </x14:formula1>
          <xm:sqref>C61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1"/>
  <sheetViews>
    <sheetView topLeftCell="A40" zoomScaleNormal="100" workbookViewId="0">
      <selection activeCell="C41" sqref="C41"/>
    </sheetView>
  </sheetViews>
  <sheetFormatPr baseColWidth="10" defaultColWidth="11.44140625" defaultRowHeight="13.8" x14ac:dyDescent="0.3"/>
  <cols>
    <col min="1" max="1" width="6.6640625" style="294" customWidth="1"/>
    <col min="2" max="2" width="45.109375" style="294" customWidth="1"/>
    <col min="3" max="3" width="35" style="294" customWidth="1"/>
    <col min="4" max="4" width="38" style="294" customWidth="1"/>
    <col min="5" max="5" width="37.44140625" style="294" customWidth="1"/>
    <col min="6" max="6" width="29.109375" style="294" customWidth="1"/>
    <col min="7" max="7" width="40.33203125" style="294" customWidth="1"/>
    <col min="8" max="9" width="34.44140625" style="294" customWidth="1"/>
    <col min="10" max="10" width="31.6640625" style="294" customWidth="1"/>
    <col min="11" max="11" width="35.109375" style="294" customWidth="1"/>
    <col min="12" max="12" width="36.109375" style="294" customWidth="1"/>
    <col min="13" max="13" width="31.44140625" style="294" customWidth="1"/>
    <col min="14" max="14" width="30.5546875" style="294" customWidth="1"/>
    <col min="15" max="15" width="29.6640625" style="294" customWidth="1"/>
    <col min="16" max="16" width="11.44140625" style="294"/>
    <col min="17" max="17" width="16.44140625" style="294" customWidth="1"/>
    <col min="18" max="18" width="19.6640625" style="294" customWidth="1"/>
    <col min="19" max="16384" width="11.44140625" style="294"/>
  </cols>
  <sheetData>
    <row r="1" spans="1:17" x14ac:dyDescent="0.3">
      <c r="A1" s="2315"/>
      <c r="B1" s="2315"/>
      <c r="C1" s="2315"/>
      <c r="D1" s="2315"/>
      <c r="E1" s="2315"/>
      <c r="F1" s="2315"/>
      <c r="G1" s="2315"/>
      <c r="H1" s="2315"/>
      <c r="I1" s="2315"/>
    </row>
    <row r="2" spans="1:17" ht="59.25" customHeight="1" x14ac:dyDescent="0.3">
      <c r="A2" s="2088"/>
      <c r="B2" s="2088"/>
      <c r="C2" s="2317" t="s">
        <v>1686</v>
      </c>
      <c r="D2" s="2318"/>
      <c r="E2" s="2318"/>
      <c r="F2" s="2318"/>
      <c r="G2" s="2318"/>
      <c r="H2" s="2318"/>
      <c r="I2" s="2318"/>
      <c r="J2" s="2319"/>
      <c r="K2" s="2152" t="s">
        <v>1684</v>
      </c>
    </row>
    <row r="3" spans="1:17" ht="44.25" customHeight="1" x14ac:dyDescent="0.3">
      <c r="A3" s="2088"/>
      <c r="B3" s="2088"/>
      <c r="C3" s="2320"/>
      <c r="D3" s="2321"/>
      <c r="E3" s="2321"/>
      <c r="F3" s="2321"/>
      <c r="G3" s="2321"/>
      <c r="H3" s="2321"/>
      <c r="I3" s="2321"/>
      <c r="J3" s="2322"/>
      <c r="K3" s="2152"/>
    </row>
    <row r="4" spans="1:17" ht="15" customHeight="1" x14ac:dyDescent="0.3">
      <c r="A4" s="2316"/>
      <c r="B4" s="2316"/>
      <c r="C4" s="2316"/>
      <c r="D4" s="2316"/>
      <c r="E4" s="2316"/>
      <c r="F4" s="2316"/>
      <c r="G4" s="2316"/>
      <c r="H4" s="2316"/>
    </row>
    <row r="5" spans="1:17" ht="24.75" customHeight="1" x14ac:dyDescent="0.3">
      <c r="A5" s="2312" t="s">
        <v>1638</v>
      </c>
      <c r="B5" s="2312"/>
      <c r="C5" s="2312"/>
      <c r="D5" s="2312"/>
      <c r="E5" s="2312"/>
      <c r="F5" s="2312"/>
      <c r="G5" s="2312"/>
      <c r="H5" s="2312"/>
    </row>
    <row r="6" spans="1:17" ht="22.5" customHeight="1" x14ac:dyDescent="0.3">
      <c r="A6" s="2312" t="s">
        <v>1615</v>
      </c>
      <c r="B6" s="2312"/>
      <c r="C6" s="2312"/>
      <c r="D6" s="2312"/>
      <c r="E6" s="2312"/>
      <c r="F6" s="2312"/>
      <c r="G6" s="2312"/>
      <c r="H6" s="2312"/>
      <c r="I6" s="720"/>
      <c r="J6" s="720"/>
      <c r="K6" s="720"/>
      <c r="L6" s="720"/>
      <c r="M6" s="720"/>
      <c r="N6" s="720"/>
      <c r="O6" s="720"/>
      <c r="P6" s="720"/>
      <c r="Q6" s="720"/>
    </row>
    <row r="7" spans="1:17" ht="18" customHeight="1" x14ac:dyDescent="0.3">
      <c r="A7" s="2313"/>
      <c r="B7" s="2313"/>
      <c r="C7" s="2313"/>
      <c r="D7" s="2313"/>
      <c r="E7" s="2313"/>
      <c r="F7" s="2313"/>
      <c r="G7" s="2313"/>
      <c r="H7" s="2313"/>
    </row>
    <row r="8" spans="1:17" ht="25.5" customHeight="1" x14ac:dyDescent="0.3">
      <c r="A8" s="2303" t="s">
        <v>0</v>
      </c>
      <c r="B8" s="2303"/>
      <c r="C8" s="1745" t="str">
        <f>+FENECIMIENTO!D4</f>
        <v xml:space="preserve">80000 - DIRECCIÓN SECTOR MOVILIDAD </v>
      </c>
      <c r="D8" s="1745"/>
      <c r="E8" s="721"/>
      <c r="F8" s="9" t="s">
        <v>777</v>
      </c>
      <c r="G8" s="2314"/>
      <c r="H8" s="2314"/>
    </row>
    <row r="9" spans="1:17" ht="36.75" customHeight="1" x14ac:dyDescent="0.3">
      <c r="A9" s="2268" t="s">
        <v>1186</v>
      </c>
      <c r="B9" s="2268"/>
      <c r="C9" s="2100" t="str">
        <f>+FENECIMIENTO!D5</f>
        <v>204 - Instituto de Desarrollo Urbano – IDU</v>
      </c>
      <c r="D9" s="2083"/>
      <c r="E9" s="721"/>
      <c r="F9" s="622" t="s">
        <v>2</v>
      </c>
      <c r="G9" s="1745">
        <f>+FENECIMIENTO!K5</f>
        <v>2024</v>
      </c>
      <c r="H9" s="1745"/>
    </row>
    <row r="10" spans="1:17" ht="27" customHeight="1" x14ac:dyDescent="0.3">
      <c r="A10" s="2303" t="s">
        <v>1680</v>
      </c>
      <c r="B10" s="2303"/>
      <c r="C10" s="2083">
        <f>+FENECIMIENTO!D6</f>
        <v>2025</v>
      </c>
      <c r="D10" s="2083"/>
      <c r="E10" s="303"/>
      <c r="F10" s="622" t="s">
        <v>3</v>
      </c>
      <c r="G10" s="2083">
        <f>+FENECIMIENTO!K6</f>
        <v>87</v>
      </c>
      <c r="H10" s="2083"/>
    </row>
    <row r="11" spans="1:17" ht="29.25" customHeight="1" x14ac:dyDescent="0.3">
      <c r="A11" s="2303" t="s">
        <v>4</v>
      </c>
      <c r="B11" s="2303"/>
      <c r="C11" s="2084">
        <f>+FENECIMIENTO!D7</f>
        <v>45693</v>
      </c>
      <c r="D11" s="2083"/>
      <c r="E11" s="722"/>
      <c r="F11" s="622" t="s">
        <v>1187</v>
      </c>
      <c r="G11" s="2084">
        <f>+FENECIMIENTO!K7</f>
        <v>45693</v>
      </c>
      <c r="H11" s="2083"/>
    </row>
    <row r="12" spans="1:17" ht="13.5" customHeight="1" x14ac:dyDescent="0.3">
      <c r="A12" s="724"/>
      <c r="B12" s="721"/>
      <c r="F12" s="725"/>
      <c r="G12" s="726"/>
      <c r="H12" s="726"/>
    </row>
    <row r="13" spans="1:17" ht="12" customHeight="1" x14ac:dyDescent="0.3">
      <c r="A13" s="727"/>
      <c r="B13" s="728"/>
      <c r="C13" s="729"/>
      <c r="D13" s="729"/>
      <c r="E13" s="729"/>
      <c r="F13" s="727"/>
      <c r="G13" s="727"/>
      <c r="H13" s="730"/>
    </row>
    <row r="14" spans="1:17" ht="8.25" customHeight="1" x14ac:dyDescent="0.3">
      <c r="B14" s="731"/>
      <c r="C14" s="731"/>
      <c r="D14" s="731"/>
      <c r="E14" s="731"/>
      <c r="F14" s="731"/>
      <c r="G14" s="731"/>
      <c r="H14" s="731"/>
    </row>
    <row r="15" spans="1:17" ht="18" customHeight="1" x14ac:dyDescent="0.3">
      <c r="A15" s="731" t="s">
        <v>1188</v>
      </c>
      <c r="B15" s="731"/>
      <c r="C15" s="731"/>
      <c r="D15" s="731"/>
      <c r="E15" s="731"/>
      <c r="F15" s="731"/>
      <c r="G15" s="731"/>
      <c r="H15" s="731"/>
    </row>
    <row r="16" spans="1:17" ht="18" customHeight="1" x14ac:dyDescent="0.3">
      <c r="A16" s="724"/>
      <c r="B16" s="724"/>
      <c r="C16" s="732"/>
      <c r="D16" s="732"/>
      <c r="E16" s="732"/>
      <c r="F16" s="732"/>
      <c r="G16" s="723"/>
      <c r="H16" s="620"/>
    </row>
    <row r="17" spans="1:12" ht="29.25" customHeight="1" x14ac:dyDescent="0.3">
      <c r="A17" s="2302" t="s">
        <v>1632</v>
      </c>
      <c r="B17" s="2302"/>
      <c r="C17" s="2302"/>
      <c r="D17" s="2302"/>
      <c r="E17" s="2302"/>
      <c r="F17" s="2302"/>
      <c r="G17" s="2302"/>
      <c r="H17" s="2302"/>
      <c r="I17" s="2302"/>
      <c r="J17" s="2302"/>
      <c r="K17" s="2302"/>
    </row>
    <row r="18" spans="1:12" ht="18" customHeight="1" thickBot="1" x14ac:dyDescent="0.35">
      <c r="A18" s="733"/>
      <c r="B18" s="733"/>
      <c r="C18" s="733"/>
      <c r="D18" s="733"/>
      <c r="E18" s="733"/>
      <c r="F18" s="733"/>
      <c r="G18" s="733"/>
      <c r="H18" s="733"/>
      <c r="I18" s="733"/>
      <c r="J18" s="619"/>
      <c r="K18" s="619"/>
      <c r="L18" s="619"/>
    </row>
    <row r="19" spans="1:12" ht="18" customHeight="1" x14ac:dyDescent="0.3">
      <c r="A19" s="2304"/>
      <c r="B19" s="2305" t="s">
        <v>1189</v>
      </c>
      <c r="C19" s="2306"/>
      <c r="D19" s="2306"/>
      <c r="E19" s="2306"/>
      <c r="F19" s="2307"/>
      <c r="G19" s="2308" t="s">
        <v>209</v>
      </c>
      <c r="H19" s="2310" t="s">
        <v>1029</v>
      </c>
      <c r="I19" s="2310" t="s">
        <v>1030</v>
      </c>
      <c r="J19" s="2298" t="s">
        <v>1031</v>
      </c>
      <c r="K19" s="2300" t="s">
        <v>178</v>
      </c>
      <c r="L19" s="619"/>
    </row>
    <row r="20" spans="1:12" ht="57.75" customHeight="1" thickBot="1" x14ac:dyDescent="0.35">
      <c r="A20" s="2304"/>
      <c r="B20" s="1422" t="s">
        <v>465</v>
      </c>
      <c r="C20" s="1423" t="s">
        <v>1032</v>
      </c>
      <c r="D20" s="1423" t="s">
        <v>1033</v>
      </c>
      <c r="E20" s="1423" t="s">
        <v>1034</v>
      </c>
      <c r="F20" s="1424" t="s">
        <v>1035</v>
      </c>
      <c r="G20" s="2309"/>
      <c r="H20" s="2311"/>
      <c r="I20" s="2311"/>
      <c r="J20" s="2299"/>
      <c r="K20" s="2301"/>
      <c r="L20" s="619"/>
    </row>
    <row r="21" spans="1:12" ht="79.5" customHeight="1" x14ac:dyDescent="0.3">
      <c r="A21" s="734" t="s">
        <v>494</v>
      </c>
      <c r="B21" s="1425" t="s">
        <v>1190</v>
      </c>
      <c r="C21" s="1447" t="s">
        <v>1191</v>
      </c>
      <c r="D21" s="1443">
        <f>45000/5410000%</f>
        <v>0.83179297597042512</v>
      </c>
      <c r="E21" s="1427" t="s">
        <v>1040</v>
      </c>
      <c r="F21" s="1426" t="s">
        <v>1192</v>
      </c>
      <c r="G21" s="1427" t="s">
        <v>193</v>
      </c>
      <c r="H21" s="2281" t="s">
        <v>1193</v>
      </c>
      <c r="I21" s="1426" t="s">
        <v>1194</v>
      </c>
      <c r="J21" s="2284" t="s">
        <v>1195</v>
      </c>
      <c r="K21" s="1428">
        <f>IF(D21="","",D21)</f>
        <v>0.83179297597042512</v>
      </c>
    </row>
    <row r="22" spans="1:12" ht="72" customHeight="1" x14ac:dyDescent="0.3">
      <c r="A22" s="734" t="s">
        <v>494</v>
      </c>
      <c r="B22" s="1429" t="s">
        <v>1196</v>
      </c>
      <c r="C22" s="1448" t="s">
        <v>1197</v>
      </c>
      <c r="D22" s="1443">
        <f>(83462378626/88180338979)</f>
        <v>0.94649645932838189</v>
      </c>
      <c r="E22" s="1431" t="s">
        <v>1040</v>
      </c>
      <c r="F22" s="1430" t="s">
        <v>1198</v>
      </c>
      <c r="G22" s="1431" t="s">
        <v>193</v>
      </c>
      <c r="H22" s="2282"/>
      <c r="I22" s="1430" t="s">
        <v>1199</v>
      </c>
      <c r="J22" s="2285"/>
      <c r="K22" s="1432">
        <f t="shared" ref="K22:K29" si="0">IF(D22="","",D22)</f>
        <v>0.94649645932838189</v>
      </c>
    </row>
    <row r="23" spans="1:12" ht="75.75" customHeight="1" x14ac:dyDescent="0.3">
      <c r="A23" s="734" t="s">
        <v>494</v>
      </c>
      <c r="B23" s="1429" t="s">
        <v>1200</v>
      </c>
      <c r="C23" s="1448" t="s">
        <v>1201</v>
      </c>
      <c r="D23" s="1443">
        <f>(23462378626/28180338979)</f>
        <v>0.8325797160738263</v>
      </c>
      <c r="E23" s="1431" t="s">
        <v>1040</v>
      </c>
      <c r="F23" s="1430" t="s">
        <v>1202</v>
      </c>
      <c r="G23" s="1431" t="s">
        <v>193</v>
      </c>
      <c r="H23" s="2282"/>
      <c r="I23" s="1430" t="s">
        <v>1203</v>
      </c>
      <c r="J23" s="2285"/>
      <c r="K23" s="1432">
        <f t="shared" si="0"/>
        <v>0.8325797160738263</v>
      </c>
    </row>
    <row r="24" spans="1:12" ht="101.25" customHeight="1" x14ac:dyDescent="0.3">
      <c r="A24" s="734"/>
      <c r="B24" s="1433" t="s">
        <v>1204</v>
      </c>
      <c r="C24" s="1449" t="s">
        <v>1205</v>
      </c>
      <c r="D24" s="1443">
        <f>(23462378626/28180338979)</f>
        <v>0.8325797160738263</v>
      </c>
      <c r="E24" s="1435" t="s">
        <v>1040</v>
      </c>
      <c r="F24" s="1434" t="s">
        <v>1206</v>
      </c>
      <c r="G24" s="1431" t="s">
        <v>193</v>
      </c>
      <c r="H24" s="2282"/>
      <c r="I24" s="1430" t="s">
        <v>1207</v>
      </c>
      <c r="J24" s="2285"/>
      <c r="K24" s="1432">
        <f t="shared" si="0"/>
        <v>0.8325797160738263</v>
      </c>
    </row>
    <row r="25" spans="1:12" ht="82.5" customHeight="1" x14ac:dyDescent="0.3">
      <c r="A25" s="734"/>
      <c r="B25" s="1433" t="s">
        <v>1208</v>
      </c>
      <c r="C25" s="1449" t="s">
        <v>1209</v>
      </c>
      <c r="D25" s="1444"/>
      <c r="E25" s="1435" t="s">
        <v>1040</v>
      </c>
      <c r="F25" s="1434" t="s">
        <v>1210</v>
      </c>
      <c r="G25" s="1431" t="s">
        <v>193</v>
      </c>
      <c r="H25" s="2282"/>
      <c r="I25" s="1430" t="s">
        <v>1211</v>
      </c>
      <c r="J25" s="2285"/>
      <c r="K25" s="1432" t="str">
        <f t="shared" si="0"/>
        <v/>
      </c>
    </row>
    <row r="26" spans="1:12" ht="81.75" customHeight="1" x14ac:dyDescent="0.3">
      <c r="A26" s="734"/>
      <c r="B26" s="1433" t="s">
        <v>1212</v>
      </c>
      <c r="C26" s="1449" t="s">
        <v>1213</v>
      </c>
      <c r="D26" s="1443"/>
      <c r="E26" s="1435" t="s">
        <v>1040</v>
      </c>
      <c r="F26" s="1434" t="s">
        <v>1214</v>
      </c>
      <c r="G26" s="1431" t="s">
        <v>193</v>
      </c>
      <c r="H26" s="2282"/>
      <c r="I26" s="1430" t="s">
        <v>1215</v>
      </c>
      <c r="J26" s="2285"/>
      <c r="K26" s="1432" t="str">
        <f t="shared" si="0"/>
        <v/>
      </c>
    </row>
    <row r="27" spans="1:12" ht="78" customHeight="1" x14ac:dyDescent="0.3">
      <c r="A27" s="734"/>
      <c r="B27" s="1429" t="s">
        <v>1216</v>
      </c>
      <c r="C27" s="1448" t="s">
        <v>1217</v>
      </c>
      <c r="D27" s="1443">
        <f>(19546282282/188180338979)</f>
        <v>0.10386994936905321</v>
      </c>
      <c r="E27" s="1431" t="s">
        <v>1040</v>
      </c>
      <c r="F27" s="1430" t="s">
        <v>1218</v>
      </c>
      <c r="G27" s="1431" t="s">
        <v>193</v>
      </c>
      <c r="H27" s="2282"/>
      <c r="I27" s="2287" t="s">
        <v>1219</v>
      </c>
      <c r="J27" s="2285"/>
      <c r="K27" s="1432">
        <f>IF(D27="","",IF(D27&gt;0,IF(OR((1-D27)&gt;0.8,(1-D27)&gt;0.5),1-D27-0.1,1-D27),1+D27))</f>
        <v>0.79613005063094677</v>
      </c>
    </row>
    <row r="28" spans="1:12" ht="84" customHeight="1" x14ac:dyDescent="0.3">
      <c r="A28" s="734"/>
      <c r="B28" s="1429" t="s">
        <v>1220</v>
      </c>
      <c r="C28" s="1448" t="s">
        <v>1221</v>
      </c>
      <c r="D28" s="1443">
        <f>(6546282262/128180338979)</f>
        <v>5.1070876502148185E-2</v>
      </c>
      <c r="E28" s="1431" t="s">
        <v>1040</v>
      </c>
      <c r="F28" s="1430" t="s">
        <v>1218</v>
      </c>
      <c r="G28" s="1431" t="s">
        <v>193</v>
      </c>
      <c r="H28" s="2282"/>
      <c r="I28" s="2288"/>
      <c r="J28" s="2285"/>
      <c r="K28" s="1432">
        <f>IF(D28="","",IF(D28&gt;0,IF(OR((1-D28)&gt;0.8,(1-D28)&gt;0.5),1-D28-0.1,1-D28),1+D28))</f>
        <v>0.84892912349785188</v>
      </c>
      <c r="L28" s="735"/>
    </row>
    <row r="29" spans="1:12" ht="79.2" x14ac:dyDescent="0.3">
      <c r="A29" s="734"/>
      <c r="B29" s="1429" t="s">
        <v>1222</v>
      </c>
      <c r="C29" s="1448" t="s">
        <v>1223</v>
      </c>
      <c r="D29" s="1443">
        <f>(23462378626/28180338979)</f>
        <v>0.8325797160738263</v>
      </c>
      <c r="E29" s="1431" t="s">
        <v>1040</v>
      </c>
      <c r="F29" s="1430" t="s">
        <v>1224</v>
      </c>
      <c r="G29" s="1431" t="s">
        <v>193</v>
      </c>
      <c r="H29" s="2282"/>
      <c r="I29" s="1430" t="s">
        <v>1225</v>
      </c>
      <c r="J29" s="2285"/>
      <c r="K29" s="1432">
        <f t="shared" si="0"/>
        <v>0.8325797160738263</v>
      </c>
    </row>
    <row r="30" spans="1:12" ht="103.5" customHeight="1" thickBot="1" x14ac:dyDescent="0.35">
      <c r="A30" s="734"/>
      <c r="B30" s="1436" t="s">
        <v>1226</v>
      </c>
      <c r="C30" s="1450" t="s">
        <v>1227</v>
      </c>
      <c r="D30" s="1445">
        <f>(29546223626/228180338979)</f>
        <v>0.12948628158852551</v>
      </c>
      <c r="E30" s="1438" t="s">
        <v>1040</v>
      </c>
      <c r="F30" s="1437" t="s">
        <v>1228</v>
      </c>
      <c r="G30" s="1438" t="s">
        <v>193</v>
      </c>
      <c r="H30" s="2283"/>
      <c r="I30" s="1437" t="s">
        <v>1229</v>
      </c>
      <c r="J30" s="2286"/>
      <c r="K30" s="1439">
        <f>IF(D30="","",IF(D30&gt;0,1-D30,1+D30))</f>
        <v>0.87051371841147451</v>
      </c>
    </row>
    <row r="31" spans="1:12" ht="103.5" customHeight="1" thickBot="1" x14ac:dyDescent="0.35">
      <c r="A31" s="736"/>
      <c r="B31" s="1425" t="s">
        <v>1230</v>
      </c>
      <c r="C31" s="1451" t="s">
        <v>1231</v>
      </c>
      <c r="D31" s="1446">
        <f>1521000/2235411</f>
        <v>0.68041179004666252</v>
      </c>
      <c r="E31" s="1427" t="s">
        <v>1040</v>
      </c>
      <c r="F31" s="1440" t="s">
        <v>1232</v>
      </c>
      <c r="G31" s="1427" t="s">
        <v>193</v>
      </c>
      <c r="H31" s="1441" t="s">
        <v>1233</v>
      </c>
      <c r="I31" s="1442" t="s">
        <v>1234</v>
      </c>
      <c r="J31" s="1442" t="s">
        <v>1235</v>
      </c>
      <c r="K31" s="1439">
        <f>IF(D31="","",D31)</f>
        <v>0.68041179004666252</v>
      </c>
    </row>
    <row r="32" spans="1:12" ht="34.5" customHeight="1" thickBot="1" x14ac:dyDescent="0.35">
      <c r="A32" s="736"/>
      <c r="B32" s="737"/>
      <c r="C32" s="738"/>
      <c r="D32" s="739"/>
      <c r="E32" s="740"/>
      <c r="F32" s="741"/>
      <c r="G32" s="742"/>
      <c r="H32" s="743"/>
      <c r="I32" s="738"/>
      <c r="J32" s="740"/>
      <c r="K32" s="744"/>
    </row>
    <row r="33" spans="1:15" ht="103.5" customHeight="1" x14ac:dyDescent="0.3">
      <c r="A33" s="745"/>
      <c r="B33" s="2289" t="s">
        <v>1236</v>
      </c>
      <c r="C33" s="2290"/>
      <c r="D33" s="2290"/>
      <c r="E33" s="2291"/>
      <c r="F33" s="746"/>
      <c r="G33" s="747"/>
      <c r="H33" s="748"/>
      <c r="I33" s="749"/>
      <c r="J33" s="945"/>
      <c r="K33" s="750"/>
      <c r="L33" s="751"/>
      <c r="M33" s="751"/>
      <c r="N33" s="752"/>
    </row>
    <row r="34" spans="1:15" ht="32.25" customHeight="1" x14ac:dyDescent="0.3">
      <c r="A34" s="753"/>
      <c r="B34" s="2292" t="s">
        <v>1237</v>
      </c>
      <c r="C34" s="2292"/>
      <c r="D34" s="738"/>
      <c r="E34" s="738"/>
      <c r="F34" s="754"/>
      <c r="G34" s="742"/>
      <c r="H34" s="755"/>
      <c r="I34" s="742"/>
      <c r="J34" s="740"/>
      <c r="K34" s="756"/>
      <c r="N34" s="757"/>
    </row>
    <row r="35" spans="1:15" ht="44.25" customHeight="1" x14ac:dyDescent="0.3">
      <c r="A35" s="2293" t="s">
        <v>1633</v>
      </c>
      <c r="B35" s="2294"/>
      <c r="C35" s="2294"/>
      <c r="D35" s="2294"/>
      <c r="E35" s="2294"/>
      <c r="F35" s="2294"/>
      <c r="G35" s="2294"/>
      <c r="H35" s="2294"/>
      <c r="I35" s="2294"/>
      <c r="J35" s="2294"/>
      <c r="K35" s="2294"/>
      <c r="L35" s="2294"/>
      <c r="M35" s="2294"/>
      <c r="N35" s="2295"/>
    </row>
    <row r="36" spans="1:15" ht="16.5" customHeight="1" thickBot="1" x14ac:dyDescent="0.35">
      <c r="A36" s="758"/>
      <c r="B36" s="724"/>
      <c r="C36" s="732"/>
      <c r="D36" s="732"/>
      <c r="E36" s="732"/>
      <c r="F36" s="732"/>
      <c r="G36" s="723"/>
      <c r="H36" s="620"/>
      <c r="N36" s="757"/>
    </row>
    <row r="37" spans="1:15" ht="81.75" customHeight="1" thickBot="1" x14ac:dyDescent="0.35">
      <c r="A37" s="759" t="s">
        <v>1644</v>
      </c>
      <c r="B37" s="760" t="s">
        <v>1238</v>
      </c>
      <c r="C37" s="760" t="s">
        <v>1239</v>
      </c>
      <c r="D37" s="760" t="s">
        <v>1240</v>
      </c>
      <c r="E37" s="2296" t="s">
        <v>1241</v>
      </c>
      <c r="F37" s="2297"/>
      <c r="G37" s="760" t="s">
        <v>1242</v>
      </c>
      <c r="H37" s="760" t="s">
        <v>1243</v>
      </c>
      <c r="I37" s="760" t="s">
        <v>1244</v>
      </c>
      <c r="J37" s="760" t="s">
        <v>1245</v>
      </c>
      <c r="K37" s="760" t="s">
        <v>1246</v>
      </c>
      <c r="L37" s="760" t="s">
        <v>1247</v>
      </c>
      <c r="M37" s="760" t="s">
        <v>1248</v>
      </c>
      <c r="N37" s="761" t="s">
        <v>1249</v>
      </c>
      <c r="O37" s="762" t="s">
        <v>1250</v>
      </c>
    </row>
    <row r="38" spans="1:15" s="619" customFormat="1" ht="87" customHeight="1" thickBot="1" x14ac:dyDescent="0.35">
      <c r="A38" s="1452">
        <v>1</v>
      </c>
      <c r="B38" s="1457" t="s">
        <v>1251</v>
      </c>
      <c r="C38" s="1458" t="s">
        <v>1287</v>
      </c>
      <c r="D38" s="1459" t="s">
        <v>811</v>
      </c>
      <c r="E38" s="2280" t="s">
        <v>1763</v>
      </c>
      <c r="F38" s="2280"/>
      <c r="G38" s="1458" t="s">
        <v>1372</v>
      </c>
      <c r="H38" s="1459" t="s">
        <v>1281</v>
      </c>
      <c r="I38" s="1460">
        <v>750</v>
      </c>
      <c r="J38" s="944">
        <f>_xlfn.IFNA(IF(VLOOKUP(D38,'ANALÍTICA PRESUPUESTAL'!$B$18:$B$96,1,)="","No se audito",IF(I38/VLOOKUP(D38,'ANALÍTICA PRESUPUESTAL'!$B$18:$C$96,2,)*100&gt;0, I38/VLOOKUP(D38,'ANALÍTICA PRESUPUESTAL'!$B$18:$C$96,2,),"")),"")</f>
        <v>6.2406390414378437E-4</v>
      </c>
      <c r="K38" s="1470" t="s">
        <v>1256</v>
      </c>
      <c r="L38" s="1474"/>
      <c r="M38" s="1459" t="s">
        <v>928</v>
      </c>
      <c r="N38" s="1475" t="s">
        <v>1257</v>
      </c>
      <c r="O38" s="1476"/>
    </row>
    <row r="39" spans="1:15" s="619" customFormat="1" ht="115.5" customHeight="1" thickBot="1" x14ac:dyDescent="0.35">
      <c r="A39" s="1453">
        <v>2</v>
      </c>
      <c r="B39" s="1461" t="s">
        <v>1258</v>
      </c>
      <c r="C39" s="1458" t="s">
        <v>1367</v>
      </c>
      <c r="D39" s="1459" t="s">
        <v>811</v>
      </c>
      <c r="E39" s="2280" t="s">
        <v>1645</v>
      </c>
      <c r="F39" s="2280"/>
      <c r="G39" s="1458" t="s">
        <v>1254</v>
      </c>
      <c r="H39" s="1459" t="s">
        <v>1281</v>
      </c>
      <c r="I39" s="1462">
        <v>20000</v>
      </c>
      <c r="J39" s="944">
        <f>_xlfn.IFNA(IF(VLOOKUP(D39,'ANALÍTICA PRESUPUESTAL'!$B$18:$B$96,1,)="","No se audito",IF(I39/VLOOKUP(D39,'ANALÍTICA PRESUPUESTAL'!$B$18:$C$96,2,)*100&gt;0, I39/VLOOKUP(D39,'ANALÍTICA PRESUPUESTAL'!$B$18:$C$96,2,),"")),"")</f>
        <v>1.6641704110500914E-2</v>
      </c>
      <c r="K39" s="1471" t="s">
        <v>1261</v>
      </c>
      <c r="L39" s="1477"/>
      <c r="M39" s="1459" t="s">
        <v>1347</v>
      </c>
      <c r="N39" s="1478" t="s">
        <v>1262</v>
      </c>
      <c r="O39" s="1479"/>
    </row>
    <row r="40" spans="1:15" s="619" customFormat="1" ht="129" customHeight="1" thickBot="1" x14ac:dyDescent="0.35">
      <c r="A40" s="1454">
        <v>3</v>
      </c>
      <c r="B40" s="1463" t="s">
        <v>1263</v>
      </c>
      <c r="C40" s="1458" t="s">
        <v>1349</v>
      </c>
      <c r="D40" s="1459" t="s">
        <v>812</v>
      </c>
      <c r="E40" s="2280" t="s">
        <v>1253</v>
      </c>
      <c r="F40" s="2280"/>
      <c r="G40" s="1458" t="s">
        <v>1254</v>
      </c>
      <c r="H40" s="1459" t="s">
        <v>1364</v>
      </c>
      <c r="I40" s="1460">
        <v>10000</v>
      </c>
      <c r="J40" s="944">
        <f>_xlfn.IFNA(IF(VLOOKUP(D40,'ANALÍTICA PRESUPUESTAL'!$B$18:$B$96,1,)="","No se audito",IF(I40/VLOOKUP(D40,'ANALÍTICA PRESUPUESTAL'!$B$18:$C$96,2,)*100&gt;0, I40/VLOOKUP(D40,'ANALÍTICA PRESUPUESTAL'!$B$18:$C$96,2,),"")),"")</f>
        <v>8.3208520552504571E-3</v>
      </c>
      <c r="K40" s="1472" t="s">
        <v>1266</v>
      </c>
      <c r="L40" s="1480"/>
      <c r="M40" s="1459" t="s">
        <v>1347</v>
      </c>
      <c r="N40" s="1481" t="s">
        <v>1268</v>
      </c>
      <c r="O40" s="1482"/>
    </row>
    <row r="41" spans="1:15" s="619" customFormat="1" ht="148.5" customHeight="1" thickBot="1" x14ac:dyDescent="0.35">
      <c r="A41" s="1452">
        <v>4</v>
      </c>
      <c r="B41" s="1464" t="s">
        <v>1269</v>
      </c>
      <c r="C41" s="1458" t="s">
        <v>1284</v>
      </c>
      <c r="D41" s="1459" t="s">
        <v>812</v>
      </c>
      <c r="E41" s="2280" t="s">
        <v>1253</v>
      </c>
      <c r="F41" s="2280"/>
      <c r="G41" s="1458" t="s">
        <v>1254</v>
      </c>
      <c r="H41" s="1459" t="s">
        <v>1271</v>
      </c>
      <c r="I41" s="1460">
        <v>50000</v>
      </c>
      <c r="J41" s="944">
        <f>_xlfn.IFNA(IF(VLOOKUP(D41,'ANALÍTICA PRESUPUESTAL'!$B$18:$B$96,1,)="","No se audito",IF(I41/VLOOKUP(D41,'ANALÍTICA PRESUPUESTAL'!$B$18:$C$96,2,)*100&gt;0, I41/VLOOKUP(D41,'ANALÍTICA PRESUPUESTAL'!$B$18:$C$96,2,),"")),"")</f>
        <v>4.1604260276252289E-2</v>
      </c>
      <c r="K41" s="1470" t="s">
        <v>1272</v>
      </c>
      <c r="L41" s="1474"/>
      <c r="M41" s="1459" t="s">
        <v>1347</v>
      </c>
      <c r="N41" s="1483" t="s">
        <v>1273</v>
      </c>
      <c r="O41" s="1479"/>
    </row>
    <row r="42" spans="1:15" s="619" customFormat="1" ht="77.25" customHeight="1" thickBot="1" x14ac:dyDescent="0.35">
      <c r="A42" s="1454">
        <v>5</v>
      </c>
      <c r="B42" s="1463" t="s">
        <v>1274</v>
      </c>
      <c r="C42" s="1458"/>
      <c r="D42" s="1459"/>
      <c r="E42" s="2280" t="s">
        <v>1253</v>
      </c>
      <c r="F42" s="2280"/>
      <c r="G42" s="1458" t="s">
        <v>1254</v>
      </c>
      <c r="H42" s="1459" t="s">
        <v>1379</v>
      </c>
      <c r="I42" s="1465"/>
      <c r="J42" s="944" t="str">
        <f>_xlfn.IFNA(IF(VLOOKUP(D42,'ANALÍTICA PRESUPUESTAL'!$B$18:$B$96,1,)="","No se audito",IF(I42/VLOOKUP(D42,'ANALÍTICA PRESUPUESTAL'!$B$18:$C$96,2,)*100&gt;0, I42/VLOOKUP(D42,'ANALÍTICA PRESUPUESTAL'!$B$18:$C$96,2,),"")),"")</f>
        <v/>
      </c>
      <c r="K42" s="1472" t="s">
        <v>1276</v>
      </c>
      <c r="L42" s="1480"/>
      <c r="M42" s="1459" t="s">
        <v>1347</v>
      </c>
      <c r="N42" s="1481" t="s">
        <v>1277</v>
      </c>
      <c r="O42" s="1482"/>
    </row>
    <row r="43" spans="1:15" s="619" customFormat="1" ht="69" customHeight="1" thickBot="1" x14ac:dyDescent="0.35">
      <c r="A43" s="1455">
        <v>6</v>
      </c>
      <c r="B43" s="1466" t="s">
        <v>1278</v>
      </c>
      <c r="C43" s="1458"/>
      <c r="D43" s="1459"/>
      <c r="E43" s="2280" t="s">
        <v>1253</v>
      </c>
      <c r="F43" s="2280"/>
      <c r="G43" s="1458" t="s">
        <v>1254</v>
      </c>
      <c r="H43" s="1459" t="s">
        <v>1255</v>
      </c>
      <c r="I43" s="1467"/>
      <c r="J43" s="944" t="str">
        <f>_xlfn.IFNA(IF(VLOOKUP(D43,'ANALÍTICA PRESUPUESTAL'!$B$18:$B$96,1,)="","No se audito",IF(I43/VLOOKUP(D43,'ANALÍTICA PRESUPUESTAL'!$B$18:$C$96,2,)*100&gt;0, I43/VLOOKUP(D43,'ANALÍTICA PRESUPUESTAL'!$B$18:$C$96,2,),"")),"")</f>
        <v/>
      </c>
      <c r="K43" s="1473" t="s">
        <v>1282</v>
      </c>
      <c r="L43" s="1484"/>
      <c r="M43" s="1459" t="s">
        <v>1347</v>
      </c>
      <c r="N43" s="1485">
        <v>3</v>
      </c>
      <c r="O43" s="1486"/>
    </row>
    <row r="44" spans="1:15" s="619" customFormat="1" ht="40.200000000000003" customHeight="1" thickBot="1" x14ac:dyDescent="0.35">
      <c r="A44" s="1452">
        <v>7</v>
      </c>
      <c r="B44" s="1468" t="s">
        <v>1278</v>
      </c>
      <c r="C44" s="1458"/>
      <c r="D44" s="1459"/>
      <c r="E44" s="2280" t="s">
        <v>1253</v>
      </c>
      <c r="F44" s="2280"/>
      <c r="G44" s="1458" t="s">
        <v>1254</v>
      </c>
      <c r="H44" s="1459" t="s">
        <v>1374</v>
      </c>
      <c r="I44" s="1460"/>
      <c r="J44" s="944" t="str">
        <f>_xlfn.IFNA(IF(VLOOKUP(D44,'ANALÍTICA PRESUPUESTAL'!$B$18:$B$96,1,)="","No se audito",IF(I44/VLOOKUP(D44,'ANALÍTICA PRESUPUESTAL'!$B$18:$C$96,2,)*100&gt;0, I44/VLOOKUP(D44,'ANALÍTICA PRESUPUESTAL'!$B$18:$C$96,2,),"")),"")</f>
        <v/>
      </c>
      <c r="K44" s="1470" t="s">
        <v>671</v>
      </c>
      <c r="L44" s="1474"/>
      <c r="M44" s="1459" t="s">
        <v>1347</v>
      </c>
      <c r="N44" s="1483">
        <v>4</v>
      </c>
      <c r="O44" s="1479"/>
    </row>
    <row r="45" spans="1:15" s="619" customFormat="1" ht="51.45" customHeight="1" thickBot="1" x14ac:dyDescent="0.35">
      <c r="A45" s="1454">
        <v>8</v>
      </c>
      <c r="B45" s="1469" t="s">
        <v>1278</v>
      </c>
      <c r="C45" s="1458"/>
      <c r="D45" s="1459"/>
      <c r="E45" s="2280" t="s">
        <v>1253</v>
      </c>
      <c r="F45" s="2280"/>
      <c r="G45" s="1458" t="s">
        <v>1254</v>
      </c>
      <c r="H45" s="1459" t="s">
        <v>1364</v>
      </c>
      <c r="I45" s="1462"/>
      <c r="J45" s="944" t="str">
        <f>_xlfn.IFNA(IF(VLOOKUP(D45,'ANALÍTICA PRESUPUESTAL'!$B$18:$B$96,1,)="","No se audito",IF(I45/VLOOKUP(D45,'ANALÍTICA PRESUPUESTAL'!$B$18:$C$96,2,)*100&gt;0, I45/VLOOKUP(D45,'ANALÍTICA PRESUPUESTAL'!$B$18:$C$96,2,),"")),"")</f>
        <v/>
      </c>
      <c r="K45" s="1472" t="s">
        <v>1290</v>
      </c>
      <c r="L45" s="1480"/>
      <c r="M45" s="1459" t="s">
        <v>1347</v>
      </c>
      <c r="N45" s="1481">
        <v>5</v>
      </c>
      <c r="O45" s="1482"/>
    </row>
    <row r="46" spans="1:15" s="619" customFormat="1" ht="21" customHeight="1" thickBot="1" x14ac:dyDescent="0.35">
      <c r="A46" s="1452">
        <v>9</v>
      </c>
      <c r="B46" s="1468"/>
      <c r="C46" s="1458"/>
      <c r="D46" s="1459"/>
      <c r="E46" s="2280"/>
      <c r="F46" s="2280"/>
      <c r="G46" s="1458"/>
      <c r="H46" s="1459"/>
      <c r="I46" s="1460"/>
      <c r="J46" s="944" t="str">
        <f>_xlfn.IFNA(IF(VLOOKUP(D46,'ANALÍTICA PRESUPUESTAL'!$B$18:$B$96,1,)="","No se audito",IF(I46/VLOOKUP(D46,'ANALÍTICA PRESUPUESTAL'!$B$18:$C$96,2,)*100&gt;0, I46/VLOOKUP(D46,'ANALÍTICA PRESUPUESTAL'!$B$18:$C$96,2,),"")),"")</f>
        <v/>
      </c>
      <c r="K46" s="1470"/>
      <c r="L46" s="1474"/>
      <c r="M46" s="1459"/>
      <c r="N46" s="1483"/>
      <c r="O46" s="1479"/>
    </row>
    <row r="47" spans="1:15" s="619" customFormat="1" ht="21" customHeight="1" thickBot="1" x14ac:dyDescent="0.35">
      <c r="A47" s="1454">
        <v>10</v>
      </c>
      <c r="B47" s="1469"/>
      <c r="C47" s="1458"/>
      <c r="D47" s="1459"/>
      <c r="E47" s="2280"/>
      <c r="F47" s="2280"/>
      <c r="G47" s="1458"/>
      <c r="H47" s="1459"/>
      <c r="I47" s="1462"/>
      <c r="J47" s="944" t="str">
        <f>_xlfn.IFNA(IF(VLOOKUP(D47,'ANALÍTICA PRESUPUESTAL'!$B$18:$B$96,1,)="","No se audito",IF(I47/VLOOKUP(D47,'ANALÍTICA PRESUPUESTAL'!$B$18:$C$96,2,)*100&gt;0, I47/VLOOKUP(D47,'ANALÍTICA PRESUPUESTAL'!$B$18:$C$96,2,),"")),"")</f>
        <v/>
      </c>
      <c r="K47" s="1472"/>
      <c r="L47" s="1480"/>
      <c r="M47" s="1459"/>
      <c r="N47" s="1481"/>
      <c r="O47" s="1482"/>
    </row>
    <row r="48" spans="1:15" s="619" customFormat="1" ht="21" customHeight="1" thickBot="1" x14ac:dyDescent="0.35">
      <c r="A48" s="1452">
        <v>11</v>
      </c>
      <c r="B48" s="1468"/>
      <c r="C48" s="1458"/>
      <c r="D48" s="1459"/>
      <c r="E48" s="2280"/>
      <c r="F48" s="2280"/>
      <c r="G48" s="1458"/>
      <c r="H48" s="1459"/>
      <c r="I48" s="1460"/>
      <c r="J48" s="944" t="str">
        <f>_xlfn.IFNA(IF(VLOOKUP(D48,'ANALÍTICA PRESUPUESTAL'!$B$18:$B$96,1,)="","No se audito",IF(I48/VLOOKUP(D48,'ANALÍTICA PRESUPUESTAL'!$B$18:$C$96,2,)*100&gt;0, I48/VLOOKUP(D48,'ANALÍTICA PRESUPUESTAL'!$B$18:$C$96,2,),"")),"")</f>
        <v/>
      </c>
      <c r="K48" s="1470"/>
      <c r="L48" s="1474"/>
      <c r="M48" s="1459"/>
      <c r="N48" s="1483"/>
      <c r="O48" s="1479"/>
    </row>
    <row r="49" spans="1:15" s="619" customFormat="1" ht="21" customHeight="1" thickBot="1" x14ac:dyDescent="0.35">
      <c r="A49" s="1454">
        <v>12</v>
      </c>
      <c r="B49" s="1469"/>
      <c r="C49" s="1458"/>
      <c r="D49" s="1459"/>
      <c r="E49" s="2280"/>
      <c r="F49" s="2280"/>
      <c r="G49" s="1458"/>
      <c r="H49" s="1459"/>
      <c r="I49" s="1462"/>
      <c r="J49" s="944" t="str">
        <f>_xlfn.IFNA(IF(VLOOKUP(D49,'ANALÍTICA PRESUPUESTAL'!$B$18:$B$96,1,)="","No se audito",IF(I49/VLOOKUP(D49,'ANALÍTICA PRESUPUESTAL'!$B$18:$C$96,2,)*100&gt;0, I49/VLOOKUP(D49,'ANALÍTICA PRESUPUESTAL'!$B$18:$C$96,2,),"")),"")</f>
        <v/>
      </c>
      <c r="K49" s="1472"/>
      <c r="L49" s="1480"/>
      <c r="M49" s="1459"/>
      <c r="N49" s="1481"/>
      <c r="O49" s="1482"/>
    </row>
    <row r="50" spans="1:15" s="619" customFormat="1" ht="21" customHeight="1" thickBot="1" x14ac:dyDescent="0.35">
      <c r="A50" s="1452">
        <v>13</v>
      </c>
      <c r="B50" s="1468"/>
      <c r="C50" s="1458"/>
      <c r="D50" s="1459"/>
      <c r="E50" s="2280"/>
      <c r="F50" s="2280"/>
      <c r="G50" s="1458"/>
      <c r="H50" s="1459"/>
      <c r="I50" s="1460"/>
      <c r="J50" s="944" t="str">
        <f>_xlfn.IFNA(IF(VLOOKUP(D50,'ANALÍTICA PRESUPUESTAL'!$B$18:$B$96,1,)="","No se audito",IF(I50/VLOOKUP(D50,'ANALÍTICA PRESUPUESTAL'!$B$18:$C$96,2,)*100&gt;0, I50/VLOOKUP(D50,'ANALÍTICA PRESUPUESTAL'!$B$18:$C$96,2,),"")),"")</f>
        <v/>
      </c>
      <c r="K50" s="1470"/>
      <c r="L50" s="1474"/>
      <c r="M50" s="1459"/>
      <c r="N50" s="1483"/>
      <c r="O50" s="1479"/>
    </row>
    <row r="51" spans="1:15" s="619" customFormat="1" ht="21" customHeight="1" thickBot="1" x14ac:dyDescent="0.35">
      <c r="A51" s="1454">
        <v>14</v>
      </c>
      <c r="B51" s="1469"/>
      <c r="C51" s="1458"/>
      <c r="D51" s="1459"/>
      <c r="E51" s="2280"/>
      <c r="F51" s="2280"/>
      <c r="G51" s="1458"/>
      <c r="H51" s="1459"/>
      <c r="I51" s="1462"/>
      <c r="J51" s="944" t="str">
        <f>_xlfn.IFNA(IF(VLOOKUP(D51,'ANALÍTICA PRESUPUESTAL'!$B$18:$B$96,1,)="","No se audito",IF(I51/VLOOKUP(D51,'ANALÍTICA PRESUPUESTAL'!$B$18:$C$96,2,)*100&gt;0, I51/VLOOKUP(D51,'ANALÍTICA PRESUPUESTAL'!$B$18:$C$96,2,),"")),"")</f>
        <v/>
      </c>
      <c r="K51" s="1472"/>
      <c r="L51" s="1480"/>
      <c r="M51" s="1459"/>
      <c r="N51" s="1481"/>
      <c r="O51" s="1482"/>
    </row>
    <row r="52" spans="1:15" s="619" customFormat="1" ht="21" customHeight="1" thickBot="1" x14ac:dyDescent="0.35">
      <c r="A52" s="1452">
        <v>15</v>
      </c>
      <c r="B52" s="1468"/>
      <c r="C52" s="1458"/>
      <c r="D52" s="1459"/>
      <c r="E52" s="2280"/>
      <c r="F52" s="2280"/>
      <c r="G52" s="1458"/>
      <c r="H52" s="1459"/>
      <c r="I52" s="1460"/>
      <c r="J52" s="944" t="str">
        <f>_xlfn.IFNA(IF(VLOOKUP(D52,'ANALÍTICA PRESUPUESTAL'!$B$18:$B$96,1,)="","No se audito",IF(I52/VLOOKUP(D52,'ANALÍTICA PRESUPUESTAL'!$B$18:$C$96,2,)*100&gt;0, I52/VLOOKUP(D52,'ANALÍTICA PRESUPUESTAL'!$B$18:$C$96,2,),"")),"")</f>
        <v/>
      </c>
      <c r="K52" s="1470"/>
      <c r="L52" s="1474"/>
      <c r="M52" s="1459"/>
      <c r="N52" s="1483"/>
      <c r="O52" s="1479"/>
    </row>
    <row r="53" spans="1:15" s="619" customFormat="1" ht="21" customHeight="1" thickBot="1" x14ac:dyDescent="0.35">
      <c r="A53" s="1456" t="s">
        <v>1291</v>
      </c>
      <c r="B53" s="1468"/>
      <c r="C53" s="1458"/>
      <c r="D53" s="1459"/>
      <c r="E53" s="2280"/>
      <c r="F53" s="2280"/>
      <c r="G53" s="1458"/>
      <c r="H53" s="1459"/>
      <c r="I53" s="1460"/>
      <c r="J53" s="944" t="str">
        <f>_xlfn.IFNA(IF(VLOOKUP(D53,'ANALÍTICA PRESUPUESTAL'!$B$18:$B$96,1,)="","No se audito",IF(I53/VLOOKUP(D53,'ANALÍTICA PRESUPUESTAL'!$B$18:$C$96,2,)*100&gt;0, I53/VLOOKUP(D53,'ANALÍTICA PRESUPUESTAL'!$B$18:$C$96,2,),"")),"")</f>
        <v/>
      </c>
      <c r="K53" s="1470"/>
      <c r="L53" s="1474"/>
      <c r="M53" s="1459"/>
      <c r="N53" s="1483"/>
      <c r="O53" s="1479"/>
    </row>
    <row r="54" spans="1:15" ht="27" customHeight="1" thickBot="1" x14ac:dyDescent="0.35">
      <c r="A54" s="2278" t="s">
        <v>1292</v>
      </c>
      <c r="B54" s="2278"/>
      <c r="C54" s="2278"/>
      <c r="D54" s="2278"/>
      <c r="E54" s="2278"/>
      <c r="F54" s="2278"/>
      <c r="G54" s="2278"/>
      <c r="H54" s="2279"/>
      <c r="I54" s="763">
        <f>SUM(I38:I53)</f>
        <v>80750</v>
      </c>
      <c r="J54" s="764"/>
      <c r="K54" s="765"/>
      <c r="L54" s="766"/>
      <c r="M54" s="722"/>
      <c r="N54" s="764"/>
      <c r="O54" s="764"/>
    </row>
    <row r="55" spans="1:15" s="1488" customFormat="1" ht="27" customHeight="1" x14ac:dyDescent="0.3">
      <c r="A55" s="1487" t="s">
        <v>1293</v>
      </c>
      <c r="L55" s="1489"/>
      <c r="M55" s="1489"/>
      <c r="N55" s="1489"/>
      <c r="O55" s="1489"/>
    </row>
    <row r="56" spans="1:15" s="1488" customFormat="1" ht="21" customHeight="1" x14ac:dyDescent="0.3">
      <c r="L56" s="1490"/>
    </row>
    <row r="57" spans="1:15" s="1488" customFormat="1" ht="39" customHeight="1" x14ac:dyDescent="0.3">
      <c r="A57" s="2273" t="s">
        <v>1629</v>
      </c>
      <c r="B57" s="2273"/>
      <c r="C57" s="2273"/>
      <c r="D57" s="2273"/>
      <c r="E57" s="2273"/>
      <c r="F57" s="2273"/>
      <c r="G57" s="2273"/>
      <c r="H57" s="2273"/>
      <c r="I57" s="2273"/>
    </row>
    <row r="58" spans="1:15" s="1488" customFormat="1" ht="27.75" customHeight="1" x14ac:dyDescent="0.3">
      <c r="A58" s="2273"/>
      <c r="B58" s="2273"/>
      <c r="C58" s="2273"/>
      <c r="D58" s="2273"/>
      <c r="E58" s="2273"/>
      <c r="F58" s="2273"/>
      <c r="G58" s="2273"/>
      <c r="H58" s="2273"/>
      <c r="I58" s="2273"/>
    </row>
    <row r="59" spans="1:15" s="1488" customFormat="1" ht="34.5" customHeight="1" x14ac:dyDescent="0.3">
      <c r="A59" s="2273"/>
      <c r="B59" s="2273"/>
      <c r="C59" s="2273"/>
      <c r="D59" s="2273"/>
      <c r="E59" s="2273"/>
      <c r="F59" s="2273"/>
      <c r="G59" s="2273"/>
      <c r="H59" s="2273"/>
      <c r="I59" s="2273"/>
    </row>
    <row r="60" spans="1:15" s="1488" customFormat="1" x14ac:dyDescent="0.3">
      <c r="A60" s="2273"/>
      <c r="B60" s="2273"/>
      <c r="C60" s="2273"/>
      <c r="D60" s="2273"/>
      <c r="E60" s="2273"/>
      <c r="F60" s="2273"/>
      <c r="G60" s="2273"/>
      <c r="H60" s="2273"/>
      <c r="I60" s="2273"/>
    </row>
    <row r="61" spans="1:15" s="1488" customFormat="1" x14ac:dyDescent="0.3">
      <c r="A61" s="2273"/>
      <c r="B61" s="2273"/>
      <c r="C61" s="2273"/>
      <c r="D61" s="2273"/>
      <c r="E61" s="2273"/>
      <c r="F61" s="2273"/>
      <c r="G61" s="2273"/>
      <c r="H61" s="2273"/>
      <c r="I61" s="2273"/>
    </row>
    <row r="62" spans="1:15" s="1488" customFormat="1" ht="43.5" customHeight="1" x14ac:dyDescent="0.3">
      <c r="A62" s="2273"/>
      <c r="B62" s="2273"/>
      <c r="C62" s="2273"/>
      <c r="D62" s="2273"/>
      <c r="E62" s="2273"/>
      <c r="F62" s="2273"/>
      <c r="G62" s="2273"/>
      <c r="H62" s="2273"/>
      <c r="I62" s="2273"/>
    </row>
    <row r="63" spans="1:15" s="1488" customFormat="1" ht="36" customHeight="1" x14ac:dyDescent="0.3">
      <c r="A63" s="2273"/>
      <c r="B63" s="2273"/>
      <c r="C63" s="2273"/>
      <c r="D63" s="2273"/>
      <c r="E63" s="2273"/>
      <c r="F63" s="2273"/>
      <c r="G63" s="2273"/>
      <c r="H63" s="2273"/>
      <c r="I63" s="2273"/>
    </row>
    <row r="64" spans="1:15" s="1488" customFormat="1" ht="30" customHeight="1" x14ac:dyDescent="0.3">
      <c r="A64" s="2273"/>
      <c r="B64" s="2273"/>
      <c r="C64" s="2273"/>
      <c r="D64" s="2273"/>
      <c r="E64" s="2273"/>
      <c r="F64" s="2273"/>
      <c r="G64" s="2273"/>
      <c r="H64" s="2273"/>
      <c r="I64" s="2273"/>
    </row>
    <row r="65" spans="1:15" s="1488" customFormat="1" ht="21" customHeight="1" x14ac:dyDescent="0.3">
      <c r="A65" s="2273"/>
      <c r="B65" s="2273"/>
      <c r="C65" s="2273"/>
      <c r="D65" s="2273"/>
      <c r="E65" s="2273"/>
      <c r="F65" s="2273"/>
      <c r="G65" s="2273"/>
      <c r="H65" s="2273"/>
      <c r="I65" s="2273"/>
    </row>
    <row r="66" spans="1:15" s="1488" customFormat="1" ht="43.5" customHeight="1" x14ac:dyDescent="0.3">
      <c r="B66" s="2274" t="s">
        <v>1294</v>
      </c>
      <c r="C66" s="2274"/>
      <c r="D66" s="2274"/>
      <c r="E66" s="2274"/>
    </row>
    <row r="68" spans="1:15" ht="22.5" customHeight="1" x14ac:dyDescent="0.3">
      <c r="J68" s="2275" t="s">
        <v>1295</v>
      </c>
      <c r="K68" s="2275"/>
      <c r="L68" s="2275" t="s">
        <v>1296</v>
      </c>
      <c r="M68" s="2275"/>
    </row>
    <row r="69" spans="1:15" s="619" customFormat="1" ht="42" customHeight="1" thickBot="1" x14ac:dyDescent="0.35">
      <c r="B69" s="2276" t="s">
        <v>1297</v>
      </c>
      <c r="C69" s="2277"/>
      <c r="D69" s="2277"/>
      <c r="E69" s="2277"/>
      <c r="F69" s="2277"/>
      <c r="G69" s="2277"/>
      <c r="J69" s="1944" t="s">
        <v>1298</v>
      </c>
      <c r="K69" s="1944"/>
      <c r="L69" s="1944" t="s">
        <v>1299</v>
      </c>
      <c r="M69" s="1944"/>
    </row>
    <row r="70" spans="1:15" s="619" customFormat="1" ht="84.75" customHeight="1" x14ac:dyDescent="0.3">
      <c r="B70" s="1491" t="s">
        <v>1300</v>
      </c>
      <c r="C70" s="1492" t="s">
        <v>177</v>
      </c>
      <c r="D70" s="1492" t="s">
        <v>179</v>
      </c>
      <c r="E70" s="1493" t="s">
        <v>1301</v>
      </c>
      <c r="F70" s="1493" t="s">
        <v>1302</v>
      </c>
      <c r="G70" s="1494" t="s">
        <v>211</v>
      </c>
      <c r="H70" s="1495" t="str">
        <f>I37</f>
        <v>Valor de la Incorrección o Imposibilidad
( Valores en pesos)</v>
      </c>
      <c r="I70" s="1495" t="str">
        <f>J37</f>
        <v>Porcentaje (% ) de hallazgo o salvedad respecto a la cuenta presupuestal</v>
      </c>
      <c r="J70" s="1496" t="s">
        <v>1303</v>
      </c>
      <c r="K70" s="1496" t="s">
        <v>1304</v>
      </c>
      <c r="L70" s="1496" t="s">
        <v>1305</v>
      </c>
      <c r="M70" s="1496" t="s">
        <v>1306</v>
      </c>
      <c r="N70" s="1496" t="s">
        <v>1307</v>
      </c>
      <c r="O70" s="1496" t="s">
        <v>1308</v>
      </c>
    </row>
    <row r="71" spans="1:15" s="619" customFormat="1" ht="32.25" customHeight="1" x14ac:dyDescent="0.3">
      <c r="B71" s="1497" t="s">
        <v>470</v>
      </c>
      <c r="C71" s="1498" t="str">
        <f>IF(B71="","","EFICACIA")</f>
        <v>EFICACIA</v>
      </c>
      <c r="D71" s="1499" t="str">
        <f>IF('MATERIALIDAD PRESUPUESTAL'!$A$34="","",AVERAGE(K21,K31))</f>
        <v/>
      </c>
      <c r="E71" s="1516" t="s">
        <v>1283</v>
      </c>
      <c r="F71" s="1500" t="str">
        <f>IF(OR(B71="",D71=""),"",IF(E71='LISTAS PPTO'!$V$6,D71-'LISTAS PPTO'!$X$6,IF(E71='LISTAS PPTO'!$V$7,D71-'LISTAS PPTO'!$X$7,IF(E71='LISTAS PPTO'!$V$8,D71-'LISTAS PPTO'!$X$8,IF(E71='LISTAS PPTO'!$V$9,D71-'LISTAS PPTO'!$X$9,IF(E71='LISTAS PPTO'!$V$10,D71-'LISTAS PPTO'!$X$10,IF(E71='LISTAS PPTO'!$V$11,D71-'LISTAS PPTO'!$X$11,IF(E71='LISTAS PPTO'!$V$5,D71-'LISTAS PPTO'!$X$5,IF(E71='LISTAS PPTO'!$V$4,D71-'LISTAS PPTO'!$X$4,D71)))))))))</f>
        <v/>
      </c>
      <c r="G71" s="1501" t="str">
        <f t="shared" ref="G71:G78" si="1">IF(D71="","",IF(F71&gt;=0.75,"EFICAZ","INEFICAZ"))</f>
        <v/>
      </c>
      <c r="H71" s="767" t="str">
        <f>IF(OR(B71="",D71=""),"",SUMIF($D$38:$D$53,"*INGRESOS*",$I$38:$I$53))</f>
        <v/>
      </c>
      <c r="I71" s="950" t="str">
        <f>IF(OR(H71&lt;=0,H71=""),"",SUMIF($D$38:$D$53,"*INGRESOS*",$J$38:$J$53))</f>
        <v/>
      </c>
      <c r="J71" s="946" t="str">
        <f>IF(OR(I71&lt;=0,I71=""),"",SUMIF($C$38:$C$53,"*Incorrección*Ingresos*",$I$38:$I$53)/'MATERIALIDAD PRESUPUESTAL'!$D$34)</f>
        <v/>
      </c>
      <c r="K71" s="948" t="str">
        <f>IF(OR(J71&lt;=0,J71=""),"",SUMIF($C$38:$C$53,"*Incorrección*Ingresos*",$I$38:$I$53)/'MATERIALIDAD PRESUPUESTAL'!$D$34)</f>
        <v/>
      </c>
      <c r="L71" s="947" t="str">
        <f>IF(OR(I71&lt;=0,I71=""),"",SUMIF($C$38:$C$53,"*Imposibilidades*Ingresos*",$I$38:$I$53)/'MATERIALIDAD PRESUPUESTAL'!$D$34)</f>
        <v/>
      </c>
      <c r="M71" s="948" t="str">
        <f>IF(OR(I71&lt;=0,I71=""),"",SUMIF($C$38:$C$53,"*Imposibilidades*Ingresos*",$J$38:$J$53)/'MATERIALIDAD PRESUPUESTAL'!$C$34)</f>
        <v/>
      </c>
      <c r="N71" s="768" t="str">
        <f>IF(OR(I71&lt;=0,I71=""),"",H71/'MATERIALIDAD PRESUPUESTAL'!$D$34)</f>
        <v/>
      </c>
      <c r="O71" s="949" t="str">
        <f>IF(OR(I71&lt;=0,I71=""),"",I71/'MATERIALIDAD PRESUPUESTAL'!$C$34)</f>
        <v/>
      </c>
    </row>
    <row r="72" spans="1:15" s="619" customFormat="1" ht="32.25" customHeight="1" x14ac:dyDescent="0.3">
      <c r="B72" s="1497" t="s">
        <v>500</v>
      </c>
      <c r="C72" s="1498" t="str">
        <f t="shared" ref="C72:C78" si="2">IF(B72="","","EFICACIA")</f>
        <v>EFICACIA</v>
      </c>
      <c r="D72" s="1499">
        <f>IF('MATERIALIDAD PRESUPUESTAL'!$A$25="","",AVERAGE(K22:K23))</f>
        <v>0.8895380877011041</v>
      </c>
      <c r="E72" s="1516" t="s">
        <v>1347</v>
      </c>
      <c r="F72" s="1500">
        <f>IF(OR(B72="",D72=""),"",IF(E72='LISTAS PPTO'!$V$6,D72-'LISTAS PPTO'!$X$6,IF(E72='LISTAS PPTO'!$V$7,D72-'LISTAS PPTO'!$X$7,IF(E72='LISTAS PPTO'!$V$8,D72-'LISTAS PPTO'!$X$8,IF(E72='LISTAS PPTO'!$V$9,D72-'LISTAS PPTO'!$X$9,IF(E72='LISTAS PPTO'!$V$10,D72-'LISTAS PPTO'!$X$10,IF(E72='LISTAS PPTO'!$V$11,D72-'LISTAS PPTO'!$X$11,IF(E72='LISTAS PPTO'!$V$5,D72-'LISTAS PPTO'!$X$5,IF(E72='LISTAS PPTO'!$V$4,D72-'LISTAS PPTO'!$X$4,D72)))))))))</f>
        <v>0.8895380877011041</v>
      </c>
      <c r="G72" s="1501" t="str">
        <f t="shared" si="1"/>
        <v>EFICAZ</v>
      </c>
      <c r="H72" s="767">
        <f>IF(OR(B72="",D72=""),"",SUMIF($D$38:$D$53,"*GASTOS*",$I$38:$I$53))</f>
        <v>0</v>
      </c>
      <c r="I72" s="950" t="str">
        <f>IF(OR(H72&lt;=0,H72=""),"",SUMIF($D$38:$D$53,"GASTOS",$J$38:$J$53))</f>
        <v/>
      </c>
      <c r="J72" s="946" t="str">
        <f>IF(OR(I72&lt;=0,I72=""),"",SUMIF($C$38:$C$53,"*Incorrección*Gastos*",$I$38:$I$53)/'MATERIALIDAD PRESUPUESTAL'!$D$39)</f>
        <v/>
      </c>
      <c r="K72" s="948" t="str">
        <f>IF(OR(J72&lt;=0,J72=""),"",SUMIF($C$38:$C$53,"*Incorrección*Gastos*",$I$38:$I$53)/'MATERIALIDAD PRESUPUESTAL'!$D$39)</f>
        <v/>
      </c>
      <c r="L72" s="947" t="str">
        <f>IF(OR(I72&lt;=0,I72=""),"",SUMIF($C$38:$C$53,"*Imposibilidades*Gastos*",$I$38:$I$53)/'MATERIALIDAD PRESUPUESTAL'!$D$39)</f>
        <v/>
      </c>
      <c r="M72" s="948" t="str">
        <f>IF(OR(I72&lt;=0,I72=""),"",SUMIF($C$38:$C$53,"*Imposibilidades*Gastos*",$J$38:$J$53)/'MATERIALIDAD PRESUPUESTAL'!$C$39)</f>
        <v/>
      </c>
      <c r="N72" s="768" t="str">
        <f>IF(OR(I72&lt;=0,I72=""),"",H72/'MATERIALIDAD PRESUPUESTAL'!$D$39)</f>
        <v/>
      </c>
      <c r="O72" s="949" t="str">
        <f>IF(OR(I72&lt;=0,I72=""),"",I72/'MATERIALIDAD PRESUPUESTAL'!$C$39)</f>
        <v/>
      </c>
    </row>
    <row r="73" spans="1:15" s="619" customFormat="1" ht="32.25" customHeight="1" x14ac:dyDescent="0.3">
      <c r="B73" s="1497" t="s">
        <v>808</v>
      </c>
      <c r="C73" s="1498" t="str">
        <f t="shared" si="2"/>
        <v>EFICACIA</v>
      </c>
      <c r="D73" s="1499" t="str">
        <f>IF(OR('MATERIALIDAD PRESUPUESTAL'!$C$44="",'MATERIALIDAD PRESUPUESTAL'!$D$44=""),"",AVERAGE(K22:K23))</f>
        <v/>
      </c>
      <c r="E73" s="1516" t="s">
        <v>1347</v>
      </c>
      <c r="F73" s="1500" t="str">
        <f>IF(OR(B73="",D73=""),"",IF(E73='LISTAS PPTO'!$V$6,D73-'LISTAS PPTO'!$X$6,IF(E73='LISTAS PPTO'!$V$7,D73-'LISTAS PPTO'!$X$7,IF(E73='LISTAS PPTO'!$V$8,D73-'LISTAS PPTO'!$X$8,IF(E73='LISTAS PPTO'!$V$9,D73-'LISTAS PPTO'!$X$9,IF(E73='LISTAS PPTO'!$V$10,D73-'LISTAS PPTO'!$X$10,IF(E73='LISTAS PPTO'!$V$11,D73-'LISTAS PPTO'!$X$11,IF(E73='LISTAS PPTO'!$V$5,D73-'LISTAS PPTO'!$X$5,IF(E73='LISTAS PPTO'!$V$4,D73-'LISTAS PPTO'!$X$4,D73)))))))))</f>
        <v/>
      </c>
      <c r="G73" s="1501" t="str">
        <f t="shared" si="1"/>
        <v/>
      </c>
      <c r="H73" s="767" t="str">
        <f>IF(OR(B73="",D73=""),"",SUMIF($D$38:$D$53,"*GASTOS DE COMERCIALIZACIÓN Y PRODUCCIÓN*",$I$38:$I$53))</f>
        <v/>
      </c>
      <c r="I73" s="950" t="str">
        <f>IF(OR(H73&lt;=0,H73=""),"",SUMIF($D$38:$D$53,"*GASTOS DE COMERCIALIZACIÓN Y PRODUCCIÓN*",$J$38:$J$53))</f>
        <v/>
      </c>
      <c r="J73" s="946" t="str">
        <f>IF(OR(I73&lt;=0,I73=""),"",SUMIF($C$38:$C$53,"*Incorrección*Comercialización*",$I$38:$I$53)/'MATERIALIDAD PRESUPUESTAL'!$D$44)</f>
        <v/>
      </c>
      <c r="K73" s="948" t="str">
        <f>IF(OR(J73&lt;=0,J73=""),"",SUMIF($C$38:$C$53,"*Incorrección*Comercialización*",$I$38:$I$53)/'MATERIALIDAD PRESUPUESTAL'!$D$44)</f>
        <v/>
      </c>
      <c r="L73" s="947" t="str">
        <f>IF(OR(I73&lt;=0,I73=""),"",SUMIF($C$38:$C$53,"*Imposibilidades*Comercialización*",$I$38:$I$53)/'MATERIALIDAD PRESUPUESTAL'!$D$44)</f>
        <v/>
      </c>
      <c r="M73" s="948" t="str">
        <f>IF(OR(I73&lt;=0,I73=""),"",SUMIF($C$38:$C$53,"*Imposibilidades*Comercialización*",$J$38:$J$53)/'MATERIALIDAD PRESUPUESTAL'!$C$39)</f>
        <v/>
      </c>
      <c r="N73" s="768" t="str">
        <f>IF(OR(I73&lt;=0,I73=""),"",H73/'MATERIALIDAD PRESUPUESTAL'!$D$44)</f>
        <v/>
      </c>
      <c r="O73" s="949" t="str">
        <f>IF(OR(I73&lt;=0,I73=""),"",I73/'MATERIALIDAD PRESUPUESTAL'!$C$39)</f>
        <v/>
      </c>
    </row>
    <row r="74" spans="1:15" s="619" customFormat="1" ht="32.25" customHeight="1" x14ac:dyDescent="0.3">
      <c r="B74" s="1497" t="s">
        <v>1634</v>
      </c>
      <c r="C74" s="1498" t="str">
        <f t="shared" si="2"/>
        <v>EFICACIA</v>
      </c>
      <c r="D74" s="1499" t="str">
        <f>IF(OR('MATERIALIDAD PRESUPUESTAL'!$C$45="",'MATERIALIDAD PRESUPUESTAL'!$D$45=""),"",AVERAGE(K24,K27,K28))</f>
        <v/>
      </c>
      <c r="E74" s="1516" t="s">
        <v>1267</v>
      </c>
      <c r="F74" s="1500" t="str">
        <f>IF(OR(B74="",D74=""),"",IF(E74='LISTAS PPTO'!$V$6,D74-'LISTAS PPTO'!$X$6,IF(E74='LISTAS PPTO'!$V$7,D74-'LISTAS PPTO'!$X$7,IF(E74='LISTAS PPTO'!$V$8,D74-'LISTAS PPTO'!$X$8,IF(E74='LISTAS PPTO'!$V$9,D74-'LISTAS PPTO'!$X$9,IF(E74='LISTAS PPTO'!$V$10,D74-'LISTAS PPTO'!$X$10,IF(E74='LISTAS PPTO'!$V$11,D74-'LISTAS PPTO'!$X$11,IF(E74='LISTAS PPTO'!$V$5,D74-'LISTAS PPTO'!$X$5,IF(E74='LISTAS PPTO'!$V$4,D74-'LISTAS PPTO'!$X$4,D74)))))))))</f>
        <v/>
      </c>
      <c r="G74" s="1501" t="str">
        <f t="shared" si="1"/>
        <v/>
      </c>
      <c r="H74" s="767" t="str">
        <f>IF(OR(B74="",D74=""),"",SUMIF($D$38:$D$53,"*RESERVAS*",$I$38:$I$53))</f>
        <v/>
      </c>
      <c r="I74" s="950" t="str">
        <f>IF(OR(H74&lt;=0,H74=""),"",SUMIF($D$38:$D$53,"*RESERVAS*",$J$38:$J$53))</f>
        <v/>
      </c>
      <c r="J74" s="946" t="str">
        <f>IF(OR(I74&lt;=0,I74=""),"",SUMIF($C$38:$C$53,"*Incorrección*Reservas*",$I$38:$I$53)/'MATERIALIDAD PRESUPUESTAL'!$D$45)</f>
        <v/>
      </c>
      <c r="K74" s="948" t="str">
        <f>IF(OR(J74&lt;=0,J74=""),"",SUMIF($C$38:$C$53,"*Incorrección*Reservas*",$I$38:$I$53)/'MATERIALIDAD PRESUPUESTAL'!$D$45)</f>
        <v/>
      </c>
      <c r="L74" s="947" t="str">
        <f>IF(OR(I74&lt;=0,I74=""),"",SUMIF($C$38:$C$53,"*Imposibilidades*Reservas*",$I$38:$I$53)/'MATERIALIDAD PRESUPUESTAL'!$D$45)</f>
        <v/>
      </c>
      <c r="M74" s="948" t="str">
        <f>IF(OR(I74&lt;=0,I74=""),"",SUMIF($C$38:$C$53,"*Imposibilidades*Reservas*",$J$38:$J$53)/'MATERIALIDAD PRESUPUESTAL'!$C$39)</f>
        <v/>
      </c>
      <c r="N74" s="768" t="str">
        <f>IF(OR(I74&lt;=0,I74=""),"",H74/'MATERIALIDAD PRESUPUESTAL'!$D$45)</f>
        <v/>
      </c>
      <c r="O74" s="949" t="str">
        <f>IF(OR(I74&lt;=0,I74=""),"",I74/'MATERIALIDAD PRESUPUESTAL'!$C$39)</f>
        <v/>
      </c>
    </row>
    <row r="75" spans="1:15" s="619" customFormat="1" ht="32.25" customHeight="1" x14ac:dyDescent="0.3">
      <c r="B75" s="1497" t="s">
        <v>813</v>
      </c>
      <c r="C75" s="1498" t="str">
        <f t="shared" si="2"/>
        <v>EFICACIA</v>
      </c>
      <c r="D75" s="1499" t="str">
        <f>IF(OR('MATERIALIDAD PRESUPUESTAL'!$C$46="",'MATERIALIDAD PRESUPUESTAL'!$D$46=""),"",AVERAGE(K24))</f>
        <v/>
      </c>
      <c r="E75" s="1516" t="s">
        <v>1347</v>
      </c>
      <c r="F75" s="1500" t="str">
        <f>IF(OR(B75="",D75=""),"",IF(E75='LISTAS PPTO'!$V$6,D75-'LISTAS PPTO'!$X$6,IF(E75='LISTAS PPTO'!$V$7,D75-'LISTAS PPTO'!$X$7,IF(E75='LISTAS PPTO'!$V$8,D75-'LISTAS PPTO'!$X$8,IF(E75='LISTAS PPTO'!$V$9,D75-'LISTAS PPTO'!$X$9,IF(E75='LISTAS PPTO'!$V$10,D75-'LISTAS PPTO'!$X$10,IF(E75='LISTAS PPTO'!$V$11,D75-'LISTAS PPTO'!$X$11,IF(E75='LISTAS PPTO'!$V$5,D75-'LISTAS PPTO'!$X$5,IF(E75='LISTAS PPTO'!$V$4,D75-'LISTAS PPTO'!$X$4,D75)))))))))</f>
        <v/>
      </c>
      <c r="G75" s="1501" t="str">
        <f t="shared" si="1"/>
        <v/>
      </c>
      <c r="H75" s="767" t="str">
        <f>IF(OR(B75="",D75=""),"",SUMIF($D$38:$D$53,"*OBLIGACIONES*",$I$38:$I$53))</f>
        <v/>
      </c>
      <c r="I75" s="950" t="str">
        <f>IF(OR(H75&lt;=0,H75=""),"",SUMIF($D$38:$D$53,"*OBLIGACIONES*",$J$38:$J$53))</f>
        <v/>
      </c>
      <c r="J75" s="946" t="str">
        <f>IF(OR(I75&lt;=0,I75=""),"",SUMIF($C$38:$C$53,"*Incorrección*Obligaciones*",$I$38:$I$53)/'MATERIALIDAD PRESUPUESTAL'!$D$46)</f>
        <v/>
      </c>
      <c r="K75" s="948" t="str">
        <f>IF(OR(J75&lt;=0,J75=""),"",SUMIF($C$38:$C$53,"*Incorrección*Obligaciones*",$I$38:$I$53)/'MATERIALIDAD PRESUPUESTAL'!$D$46)</f>
        <v/>
      </c>
      <c r="L75" s="947" t="str">
        <f>IF(OR(I75&lt;=0,I75=""),"",SUMIF($C$38:$C$53,"*Imposibilidades*Obligaciones*",$I$38:$I$53)/'MATERIALIDAD PRESUPUESTAL'!$D$46)</f>
        <v/>
      </c>
      <c r="M75" s="948" t="str">
        <f>IF(OR(I75&lt;=0,I75=""),"",SUMIF($C$38:$C$53,"*Imposibilidades*Obligaciones*",$J$38:$J$53)/'MATERIALIDAD PRESUPUESTAL'!$C$39)</f>
        <v/>
      </c>
      <c r="N75" s="768" t="str">
        <f>IF(OR(I75&lt;=0,I75=""),"",H75/'MATERIALIDAD PRESUPUESTAL'!$D$46)</f>
        <v/>
      </c>
      <c r="O75" s="949" t="str">
        <f>IF(OR(I75&lt;=0,I75=""),"",I75/'MATERIALIDAD PRESUPUESTAL'!$C$39)</f>
        <v/>
      </c>
    </row>
    <row r="76" spans="1:15" s="619" customFormat="1" ht="32.25" customHeight="1" x14ac:dyDescent="0.3">
      <c r="B76" s="1497" t="s">
        <v>812</v>
      </c>
      <c r="C76" s="1498" t="str">
        <f t="shared" si="2"/>
        <v>EFICACIA</v>
      </c>
      <c r="D76" s="1499" t="str">
        <f>IF(OR('MATERIALIDAD PRESUPUESTAL'!$C$47="",'MATERIALIDAD PRESUPUESTAL'!$C$47=""),"",AVERAGE(K24))</f>
        <v/>
      </c>
      <c r="E76" s="1516" t="s">
        <v>1267</v>
      </c>
      <c r="F76" s="1500" t="str">
        <f>IF(OR(B76="",D76=""),"",IF(E76='LISTAS PPTO'!$V$6,D76-'LISTAS PPTO'!$X$6,IF(E76='LISTAS PPTO'!$V$7,D76-'LISTAS PPTO'!$X$7,IF(E76='LISTAS PPTO'!$V$8,D76-'LISTAS PPTO'!$X$8,IF(E76='LISTAS PPTO'!$V$9,D76-'LISTAS PPTO'!$X$9,IF(E76='LISTAS PPTO'!$V$10,D76-'LISTAS PPTO'!$X$10,IF(E76='LISTAS PPTO'!$V$11,D76-'LISTAS PPTO'!$X$11,IF(E76='LISTAS PPTO'!$V$5,D76-'LISTAS PPTO'!$X$5,IF(E76='LISTAS PPTO'!$V$4,D76-'LISTAS PPTO'!$X$4,D76)))))))))</f>
        <v/>
      </c>
      <c r="G76" s="1501" t="str">
        <f t="shared" si="1"/>
        <v/>
      </c>
      <c r="H76" s="767" t="str">
        <f>IF(OR(B76="",D76=""),"",SUMIF($D$38:$D$53,"*CUENTAS POR PAGAR*",$I$38:$I$53))</f>
        <v/>
      </c>
      <c r="I76" s="950" t="str">
        <f>IF(OR(H76&lt;=0,H76=""),"",SUMIF($D$38:$D$53,"*CUENTAS POR PAGAR*",$J$38:$J$53))</f>
        <v/>
      </c>
      <c r="J76" s="946" t="str">
        <f>IF(OR(I76&lt;=0,I76=""),"",SUMIF($C$38:$C$53,"*Incorrección*Cuentas por Pagar*",$I$38:$I$53)/'MATERIALIDAD PRESUPUESTAL'!$D$47)</f>
        <v/>
      </c>
      <c r="K76" s="948" t="str">
        <f>IF(OR(J76&lt;=0,J76=""),"",SUMIF($C$38:$C$53,"*Incorrección*Cuentas por Pagar*",$I$38:$I$53)/'MATERIALIDAD PRESUPUESTAL'!$D$47)</f>
        <v/>
      </c>
      <c r="L76" s="947" t="str">
        <f>IF(OR(I76&lt;=0,I76=""),"",SUMIF($C$38:$C$53,"*Imposibilidades*Cuentas por Pagar*",$I$38:$I$53)/'MATERIALIDAD PRESUPUESTAL'!$D$47)</f>
        <v/>
      </c>
      <c r="M76" s="948" t="str">
        <f>IF(OR(I76&lt;=0,I76=""),"",SUMIF($C$38:$C$53,"*Imposibilidades*Cuentas por Pagar*",$J$38:$J$53)/'MATERIALIDAD PRESUPUESTAL'!$C$39)</f>
        <v/>
      </c>
      <c r="N76" s="768" t="str">
        <f>IF(OR(I76&lt;=0,I76=""),"",H76/'MATERIALIDAD PRESUPUESTAL'!$D$47)</f>
        <v/>
      </c>
      <c r="O76" s="949" t="str">
        <f>IF(OR(I76&lt;=0,I76=""),"",I76/'MATERIALIDAD PRESUPUESTAL'!$C$39)</f>
        <v/>
      </c>
    </row>
    <row r="77" spans="1:15" s="619" customFormat="1" ht="32.25" customHeight="1" x14ac:dyDescent="0.3">
      <c r="B77" s="1497" t="s">
        <v>520</v>
      </c>
      <c r="C77" s="1498" t="str">
        <f t="shared" si="2"/>
        <v>EFICACIA</v>
      </c>
      <c r="D77" s="1499" t="str">
        <f>IF(OR('MATERIALIDAD PRESUPUESTAL'!$C$48="",'MATERIALIDAD PRESUPUESTAL'!$D$48=""),"",K29)</f>
        <v/>
      </c>
      <c r="E77" s="1516" t="s">
        <v>1347</v>
      </c>
      <c r="F77" s="1500" t="str">
        <f>IF(OR(B77="",D77=""),"",IF(E77='LISTAS PPTO'!$V$6,D77-'LISTAS PPTO'!$X$6,IF(E77='LISTAS PPTO'!$V$7,D77-'LISTAS PPTO'!$X$7,IF(E77='LISTAS PPTO'!$V$8,D77-'LISTAS PPTO'!$X$8,IF(E77='LISTAS PPTO'!$V$9,D77-'LISTAS PPTO'!$X$9,IF(E77='LISTAS PPTO'!$V$10,D77-'LISTAS PPTO'!$X$10,IF(E77='LISTAS PPTO'!$V$11,D77-'LISTAS PPTO'!$X$11,IF(E77='LISTAS PPTO'!$V$5,D77-'LISTAS PPTO'!$X$5,IF(E77='LISTAS PPTO'!$V$4,D77-'LISTAS PPTO'!$X$4,D77)))))))))</f>
        <v/>
      </c>
      <c r="G77" s="1501" t="str">
        <f t="shared" si="1"/>
        <v/>
      </c>
      <c r="H77" s="767" t="str">
        <f>IF(OR(B77="",D77=""),"",SUMIF($D$38:$D$53,"*PASIVOS EXIGIBLES*",$I$38:$I$53))</f>
        <v/>
      </c>
      <c r="I77" s="950" t="str">
        <f>IF(OR(H77&lt;=0,H77=""),"",SUMIF($D$38:$D$53,"*PASIVOS EXIGIBLES*",$J$38:$J$53))</f>
        <v/>
      </c>
      <c r="J77" s="946" t="str">
        <f>IF(OR(I77&lt;=0,I77=""),"",SUMIF($C$38:$C$53,"*Incorrección*Pasivos*",$I$38:$I$53)/'MATERIALIDAD PRESUPUESTAL'!$D$48)</f>
        <v/>
      </c>
      <c r="K77" s="948" t="str">
        <f>IF(OR(J77&lt;=0,J77=""),"",SUMIF($C$38:$C$53,"*Incorrección*Pasivos*",$I$38:$I$53)/'MATERIALIDAD PRESUPUESTAL'!$D$48)</f>
        <v/>
      </c>
      <c r="L77" s="947" t="str">
        <f>IF(OR(I77&lt;=0,I77=""),"",SUMIF($C$38:$C$53,"*Imposibilidades*Pasivos*",$I$38:$I$53)/'MATERIALIDAD PRESUPUESTAL'!$D$48)</f>
        <v/>
      </c>
      <c r="M77" s="948" t="str">
        <f>IF(OR(I77&lt;=0,I77=""),"",SUMIF($C$38:$C$53,"*Imposibilidades*Pasivos*",$J$38:$J$53)/'MATERIALIDAD PRESUPUESTAL'!$C$39)</f>
        <v/>
      </c>
      <c r="N77" s="768" t="str">
        <f>IF(OR(I77&lt;=0,I77=""),"",H77/'MATERIALIDAD PRESUPUESTAL'!$D$48)</f>
        <v/>
      </c>
      <c r="O77" s="949" t="str">
        <f>IF(OR(I77&lt;=0,I77=""),"",I77/'MATERIALIDAD PRESUPUESTAL'!$C$39)</f>
        <v/>
      </c>
    </row>
    <row r="78" spans="1:15" s="619" customFormat="1" ht="32.25" customHeight="1" x14ac:dyDescent="0.3">
      <c r="B78" s="1497" t="s">
        <v>527</v>
      </c>
      <c r="C78" s="1498" t="str">
        <f t="shared" si="2"/>
        <v>EFICACIA</v>
      </c>
      <c r="D78" s="1499" t="str">
        <f>IF(OR('MATERIALIDAD PRESUPUESTAL'!$C$49="",'MATERIALIDAD PRESUPUESTAL'!$D$49=""),"",K30)</f>
        <v/>
      </c>
      <c r="E78" s="1516" t="s">
        <v>1347</v>
      </c>
      <c r="F78" s="1500" t="str">
        <f>IF(OR(B78="",D78=""),"",IF(E78='LISTAS PPTO'!$V$6,D78-'LISTAS PPTO'!$X$6,IF(E78='LISTAS PPTO'!$V$7,D78-'LISTAS PPTO'!$X$7,IF(E78='LISTAS PPTO'!$V$8,D78-'LISTAS PPTO'!$X$8,IF(E78='LISTAS PPTO'!$V$9,D78-'LISTAS PPTO'!$X$9,IF(E78='LISTAS PPTO'!$V$10,D78-'LISTAS PPTO'!$X$10,IF(E78='LISTAS PPTO'!$V$11,D78-'LISTAS PPTO'!$X$11,IF(E78='LISTAS PPTO'!$V$5,D78-'LISTAS PPTO'!$X$5,IF(E78='LISTAS PPTO'!$V$4,D78-'LISTAS PPTO'!$X$4,D78)))))))))</f>
        <v/>
      </c>
      <c r="G78" s="1501" t="str">
        <f t="shared" si="1"/>
        <v/>
      </c>
      <c r="H78" s="767" t="str">
        <f>IF(OR(B78="",D78=""),"",SUMIF($D$38:$D$53,"*VIGENCIAS FUTURAS*",$I$38:$I$53))</f>
        <v/>
      </c>
      <c r="I78" s="950" t="str">
        <f>IF(OR(H78&lt;=0,H78=""),"",SUMIF($D$38:$D$53,"*VIGENCIAS FUTURAS*",$J$38:$J$53))</f>
        <v/>
      </c>
      <c r="J78" s="946" t="str">
        <f>IF(OR(I78&lt;=0,I78=""),"",SUMIF($C$38:$C$53,"*Incorrección*Vigencias*",$I$38:$I$53)/'MATERIALIDAD PRESUPUESTAL'!$D$49)</f>
        <v/>
      </c>
      <c r="K78" s="948" t="str">
        <f>IF(OR(J78&lt;=0,J78=""),"",SUMIF($C$38:$C$53,"*Incorrección*Vigencias*",$I$38:$I$53)/'MATERIALIDAD PRESUPUESTAL'!$D$49)</f>
        <v/>
      </c>
      <c r="L78" s="947" t="str">
        <f>IF(OR(I78&lt;=0,I78=""),"",SUMIF($C$38:$C$53,"*Imposibilidades*Vigencias*",$I$38:$I$53)/'MATERIALIDAD PRESUPUESTAL'!$D$49)</f>
        <v/>
      </c>
      <c r="M78" s="948" t="str">
        <f>IF(OR(I78&lt;=0,I78=""),"",SUMIF($C$38:$C$53,"*Imposibilidades*Vigencias*",$J$38:$J$53)/'MATERIALIDAD PRESUPUESTAL'!$C$39)</f>
        <v/>
      </c>
      <c r="N78" s="768" t="str">
        <f>IF(OR(I78&lt;=0,I78=""),"",H78/'MATERIALIDAD PRESUPUESTAL'!$D$49)</f>
        <v/>
      </c>
      <c r="O78" s="949" t="str">
        <f>IF(OR(I78&lt;=0,I78=""),"",I78/'MATERIALIDAD PRESUPUESTAL'!$C$39)</f>
        <v/>
      </c>
    </row>
    <row r="79" spans="1:15" s="619" customFormat="1" ht="21" customHeight="1" x14ac:dyDescent="0.3">
      <c r="B79" s="2267" t="s">
        <v>1311</v>
      </c>
      <c r="C79" s="2267"/>
      <c r="D79" s="1502">
        <f>AVERAGE(D71:D78)</f>
        <v>0.8895380877011041</v>
      </c>
      <c r="E79" s="1266"/>
      <c r="F79" s="1502">
        <f>AVERAGE(F71:F78)</f>
        <v>0.8895380877011041</v>
      </c>
      <c r="G79" s="1503" t="str">
        <f>IF(F79&gt;=0.75,"EFICAZ","INEFICAZ")</f>
        <v>EFICAZ</v>
      </c>
      <c r="M79" s="1504"/>
    </row>
    <row r="80" spans="1:15" s="619" customFormat="1" x14ac:dyDescent="0.3"/>
    <row r="81" spans="2:17" s="619" customFormat="1" ht="43.5" customHeight="1" x14ac:dyDescent="0.3">
      <c r="B81" s="2268" t="s">
        <v>1312</v>
      </c>
      <c r="C81" s="2268"/>
      <c r="D81" s="2268"/>
      <c r="E81" s="2268"/>
    </row>
    <row r="82" spans="2:17" s="619" customFormat="1" x14ac:dyDescent="0.3"/>
    <row r="83" spans="2:17" s="619" customFormat="1" x14ac:dyDescent="0.3"/>
    <row r="84" spans="2:17" s="619" customFormat="1" x14ac:dyDescent="0.3"/>
    <row r="85" spans="2:17" s="619" customFormat="1" ht="33.75" customHeight="1" x14ac:dyDescent="0.3">
      <c r="C85" s="769" t="s">
        <v>1313</v>
      </c>
      <c r="D85" s="769" t="s">
        <v>537</v>
      </c>
      <c r="E85" s="769" t="s">
        <v>1643</v>
      </c>
    </row>
    <row r="86" spans="2:17" s="619" customFormat="1" ht="41.4" x14ac:dyDescent="0.3">
      <c r="B86" s="1505" t="s">
        <v>1314</v>
      </c>
      <c r="C86" s="1506">
        <f>IF(N71="",0,IF(O71&gt;O72,N71,N72))</f>
        <v>0</v>
      </c>
      <c r="D86" s="1506">
        <f>IF(O71="",0,O71)</f>
        <v>0</v>
      </c>
      <c r="E86" s="1506">
        <f>SUM(O72,O73:O78)</f>
        <v>0</v>
      </c>
    </row>
    <row r="87" spans="2:17" s="619" customFormat="1" ht="27.6" x14ac:dyDescent="0.3">
      <c r="B87" s="1505" t="s">
        <v>1315</v>
      </c>
      <c r="C87" s="904" t="str">
        <f>IF(C86&lt;1,"SI","NO")</f>
        <v>SI</v>
      </c>
      <c r="D87" s="904" t="str">
        <f>IF(D86&lt;1,"SI","NO")</f>
        <v>SI</v>
      </c>
      <c r="E87" s="904" t="str">
        <f>IF(E86&lt;1,"SI","NO")</f>
        <v>SI</v>
      </c>
    </row>
    <row r="88" spans="2:17" s="619" customFormat="1" ht="27.6" x14ac:dyDescent="0.3">
      <c r="B88" s="1507" t="s">
        <v>1316</v>
      </c>
      <c r="C88" s="904" t="str">
        <f>IF(C86="","",IF(AND(C86&gt;=1,C86&lt;5),"SI","NO"))</f>
        <v>NO</v>
      </c>
      <c r="D88" s="904" t="str">
        <f>IF(D86="","",IF(AND(D86&gt;=1,D86&lt;5),"SI","NO"))</f>
        <v>NO</v>
      </c>
      <c r="E88" s="904" t="str">
        <f>IF(E86="","",IF(AND(E86&gt;=1,E86&lt;5),"SI","NO"))</f>
        <v>NO</v>
      </c>
    </row>
    <row r="89" spans="2:17" s="619" customFormat="1" ht="47.25" customHeight="1" x14ac:dyDescent="0.3">
      <c r="B89" s="1507" t="s">
        <v>1317</v>
      </c>
      <c r="C89" s="904" t="str">
        <f>IF(C86&gt;=5,"SI","NO")</f>
        <v>NO</v>
      </c>
      <c r="D89" s="904" t="str">
        <f>IF(D86&gt;=5,"SI","NO")</f>
        <v>NO</v>
      </c>
      <c r="E89" s="904" t="str">
        <f>IF(E86&gt;=1,"SI","NO")</f>
        <v>NO</v>
      </c>
    </row>
    <row r="90" spans="2:17" s="619" customFormat="1" ht="55.2" x14ac:dyDescent="0.3">
      <c r="B90" s="1507" t="s">
        <v>1318</v>
      </c>
      <c r="C90" s="1508" t="str">
        <f>IF(C86=N71,IF(L71&gt;=J71,"PREDOMINA IMPOSIBILIDADES","PREDOMINA INCORRECCIONES"),IF(C86=SUM(N72,N73:N78),IF(SUM(L72,L73:L78)&gt;=SUM(J72,J73:J78),"PREDOMINA IMPOSIBILIDADES","PREDOMINA INCORRECCIONES"),""))</f>
        <v>PREDOMINA IMPOSIBILIDADES</v>
      </c>
      <c r="D90" s="1508" t="str">
        <f>IF(D86=O71,IF(M71&gt;=K71,"PREDOMINA IMPOSIBILIDADES","PREDOMINA INCORRECCIONES"),"")</f>
        <v/>
      </c>
      <c r="E90" s="1508" t="str">
        <f>IF(E86=SUM(O72,O73:O78),IF(SUM(M72,M73:M78)&gt;=SUM(K72,K73:K78),"PREDOMINA IMPOSIBILIDADES","PREDOMINA INCORRECCIONES"),"")</f>
        <v>PREDOMINA IMPOSIBILIDADES</v>
      </c>
    </row>
    <row r="91" spans="2:17" s="619" customFormat="1" ht="18" customHeight="1" x14ac:dyDescent="0.3">
      <c r="B91" s="772" t="s">
        <v>1319</v>
      </c>
    </row>
    <row r="92" spans="2:17" s="619" customFormat="1" x14ac:dyDescent="0.3"/>
    <row r="93" spans="2:17" s="619" customFormat="1" x14ac:dyDescent="0.3"/>
    <row r="94" spans="2:17" s="619" customFormat="1" x14ac:dyDescent="0.3"/>
    <row r="95" spans="2:17" s="619" customFormat="1" x14ac:dyDescent="0.3">
      <c r="D95" s="727"/>
      <c r="E95" s="727"/>
      <c r="F95" s="727"/>
      <c r="G95" s="771"/>
      <c r="H95" s="727"/>
    </row>
    <row r="96" spans="2:17" s="619" customFormat="1" x14ac:dyDescent="0.3">
      <c r="B96" s="772"/>
      <c r="C96" s="773"/>
      <c r="D96" s="773"/>
      <c r="E96" s="1267"/>
      <c r="F96" s="773"/>
      <c r="G96" s="773"/>
      <c r="H96" s="1267"/>
      <c r="N96" s="1509"/>
      <c r="Q96" s="1267"/>
    </row>
    <row r="97" spans="2:17" s="619" customFormat="1" ht="39.75" customHeight="1" x14ac:dyDescent="0.3">
      <c r="C97" s="773"/>
      <c r="D97" s="773"/>
      <c r="E97" s="773"/>
      <c r="F97" s="773"/>
      <c r="G97" s="773"/>
      <c r="H97" s="1267"/>
      <c r="N97" s="1509"/>
      <c r="Q97" s="1267"/>
    </row>
    <row r="98" spans="2:17" s="619" customFormat="1" ht="14.4" thickBot="1" x14ac:dyDescent="0.35">
      <c r="C98" s="773"/>
      <c r="D98" s="773"/>
      <c r="E98" s="773"/>
      <c r="F98" s="773"/>
      <c r="I98" s="774"/>
      <c r="N98" s="1509"/>
      <c r="Q98" s="1267"/>
    </row>
    <row r="99" spans="2:17" s="619" customFormat="1" ht="39.75" customHeight="1" thickTop="1" thickBot="1" x14ac:dyDescent="0.35">
      <c r="B99" s="2269" t="s">
        <v>1641</v>
      </c>
      <c r="C99" s="2269"/>
      <c r="D99" s="1117" t="str">
        <f>IF(D71="","No Aplica",IF(D87="SI","Razonable",IF(D88="SI","Con Salvedades",IF(AND(D89="SI",D90="Predomina Incorrecciones"),"No Razonable",IF(AND(D89="SI",D90="Predomina Imposibilidades"),"Abstención","")))))</f>
        <v>No Aplica</v>
      </c>
      <c r="E99" s="1510" t="str">
        <f>VLOOKUP(D99,ConceptoPresupuesto235[],2,FALSE)</f>
        <v>No Aplica</v>
      </c>
      <c r="F99" s="1118" t="s">
        <v>1320</v>
      </c>
      <c r="G99" s="1117" t="str">
        <f>+VLOOKUP(CONCATENATE(D99,D100),'FENECIMIENTO CUENTA'!F39:I64,4,0)</f>
        <v>Razonable</v>
      </c>
      <c r="I99" s="1267"/>
      <c r="N99" s="1509"/>
      <c r="Q99" s="1267"/>
    </row>
    <row r="100" spans="2:17" s="619" customFormat="1" ht="39.75" customHeight="1" thickTop="1" thickBot="1" x14ac:dyDescent="0.35">
      <c r="B100" s="2269" t="s">
        <v>1642</v>
      </c>
      <c r="C100" s="2269"/>
      <c r="D100" s="1117" t="str">
        <f>IF(D72="No Aplica","No Aplica",IF(E87="SI","Razonable",IF(E88="SI","Con Salvedades",IF(AND(E89="SI",E90="Predomina Incorrecciones"),"No Razonable",IF(AND(E89="SI",E90="Predomina Imposibilidades"),"Abstención","")))))</f>
        <v>Razonable</v>
      </c>
      <c r="E100" s="1510">
        <f>VLOOKUP(D100,ConceptoPresupuesto235[],2,FALSE)</f>
        <v>1</v>
      </c>
      <c r="F100" s="1118" t="s">
        <v>1321</v>
      </c>
      <c r="G100" s="1510">
        <f>VLOOKUP(G99,ConceptoPresupuesto235[],2,FALSE)</f>
        <v>1</v>
      </c>
      <c r="I100" s="1267"/>
      <c r="N100" s="1509"/>
      <c r="Q100" s="1511"/>
    </row>
    <row r="101" spans="2:17" s="619" customFormat="1" ht="14.4" thickTop="1" x14ac:dyDescent="0.3">
      <c r="H101" s="99"/>
      <c r="I101" s="99"/>
      <c r="J101" s="99"/>
      <c r="K101" s="99"/>
    </row>
    <row r="102" spans="2:17" s="619" customFormat="1" ht="27" customHeight="1" x14ac:dyDescent="0.3">
      <c r="B102" s="2270" t="s">
        <v>1630</v>
      </c>
      <c r="C102" s="2271"/>
      <c r="D102" s="2271"/>
      <c r="E102" s="2271"/>
      <c r="F102" s="2271"/>
      <c r="G102" s="2272"/>
    </row>
    <row r="103" spans="2:17" s="619" customFormat="1" ht="48" customHeight="1" thickBot="1" x14ac:dyDescent="0.35">
      <c r="B103" s="1512" t="s">
        <v>1631</v>
      </c>
      <c r="C103" s="1512" t="s">
        <v>949</v>
      </c>
      <c r="D103" s="1512" t="s">
        <v>950</v>
      </c>
      <c r="E103" s="1512" t="s">
        <v>951</v>
      </c>
      <c r="F103" s="1512" t="s">
        <v>1322</v>
      </c>
      <c r="G103" s="1512" t="s">
        <v>953</v>
      </c>
    </row>
    <row r="104" spans="2:17" s="619" customFormat="1" ht="99.75" customHeight="1" thickBot="1" x14ac:dyDescent="0.35">
      <c r="B104" s="1513" t="s">
        <v>1617</v>
      </c>
      <c r="C104" s="1513" t="s">
        <v>1323</v>
      </c>
      <c r="D104" s="1513" t="s">
        <v>1324</v>
      </c>
      <c r="E104" s="1513" t="s">
        <v>1325</v>
      </c>
      <c r="F104" s="1514">
        <v>100</v>
      </c>
      <c r="G104" s="1514" t="s">
        <v>499</v>
      </c>
    </row>
    <row r="105" spans="2:17" s="619" customFormat="1" ht="96.75" customHeight="1" thickBot="1" x14ac:dyDescent="0.35">
      <c r="B105" s="1513" t="s">
        <v>958</v>
      </c>
      <c r="C105" s="1513" t="s">
        <v>1326</v>
      </c>
      <c r="D105" s="1513" t="s">
        <v>1327</v>
      </c>
      <c r="E105" s="1513" t="s">
        <v>1328</v>
      </c>
      <c r="F105" s="1514">
        <v>75</v>
      </c>
      <c r="G105" s="1514" t="s">
        <v>499</v>
      </c>
    </row>
    <row r="106" spans="2:17" s="619" customFormat="1" ht="91.95" customHeight="1" thickBot="1" x14ac:dyDescent="0.35">
      <c r="B106" s="1513" t="s">
        <v>1618</v>
      </c>
      <c r="C106" s="1515" t="s">
        <v>1329</v>
      </c>
      <c r="D106" s="1515" t="s">
        <v>1329</v>
      </c>
      <c r="E106" s="1515" t="s">
        <v>1330</v>
      </c>
      <c r="F106" s="1514">
        <v>0</v>
      </c>
      <c r="G106" s="1514" t="s">
        <v>514</v>
      </c>
    </row>
    <row r="107" spans="2:17" s="619" customFormat="1" ht="138" customHeight="1" thickBot="1" x14ac:dyDescent="0.35">
      <c r="B107" s="1513" t="s">
        <v>518</v>
      </c>
      <c r="C107" s="1514"/>
      <c r="D107" s="1515" t="s">
        <v>1331</v>
      </c>
      <c r="E107" s="1515" t="s">
        <v>1332</v>
      </c>
      <c r="F107" s="1514">
        <v>0</v>
      </c>
      <c r="G107" s="1514" t="s">
        <v>514</v>
      </c>
    </row>
    <row r="108" spans="2:17" s="619" customFormat="1" x14ac:dyDescent="0.3"/>
    <row r="109" spans="2:17" s="619" customFormat="1" ht="14.4" thickBot="1" x14ac:dyDescent="0.35"/>
    <row r="110" spans="2:17" s="619" customFormat="1" x14ac:dyDescent="0.3">
      <c r="B110" s="2146" t="s">
        <v>672</v>
      </c>
      <c r="C110" s="2148"/>
      <c r="D110" s="2148"/>
      <c r="E110" s="2149"/>
    </row>
    <row r="111" spans="2:17" s="619" customFormat="1" ht="89.25" customHeight="1" thickBot="1" x14ac:dyDescent="0.35">
      <c r="B111" s="2147"/>
      <c r="C111" s="2150"/>
      <c r="D111" s="2150"/>
      <c r="E111" s="2151"/>
    </row>
    <row r="112" spans="2:17" s="619" customFormat="1" ht="14.4" thickBot="1" x14ac:dyDescent="0.35">
      <c r="B112" s="620"/>
      <c r="C112" s="726" t="s">
        <v>842</v>
      </c>
      <c r="D112" s="726" t="s">
        <v>1333</v>
      </c>
      <c r="E112" s="620"/>
    </row>
    <row r="113" spans="2:5" s="619" customFormat="1" ht="47.25" customHeight="1" x14ac:dyDescent="0.3">
      <c r="B113" s="2144" t="s">
        <v>673</v>
      </c>
      <c r="C113" s="1365"/>
      <c r="D113" s="1366"/>
      <c r="E113" s="620"/>
    </row>
    <row r="114" spans="2:5" s="619" customFormat="1" ht="51" customHeight="1" x14ac:dyDescent="0.3">
      <c r="B114" s="2145"/>
      <c r="C114" s="1367"/>
      <c r="D114" s="1368"/>
      <c r="E114" s="620"/>
    </row>
    <row r="115" spans="2:5" s="619" customFormat="1" ht="65.25" customHeight="1" thickBot="1" x14ac:dyDescent="0.35">
      <c r="B115" s="2145"/>
      <c r="C115" s="1369"/>
      <c r="D115" s="1370"/>
      <c r="E115" s="620"/>
    </row>
    <row r="116" spans="2:5" s="619" customFormat="1" ht="38.25" customHeight="1" x14ac:dyDescent="0.3">
      <c r="B116" s="1824" t="s">
        <v>1334</v>
      </c>
      <c r="C116" s="1371"/>
      <c r="D116" s="1366"/>
      <c r="E116" s="620"/>
    </row>
    <row r="117" spans="2:5" s="619" customFormat="1" ht="30.75" customHeight="1" x14ac:dyDescent="0.3">
      <c r="B117" s="1825"/>
      <c r="C117" s="1372"/>
      <c r="D117" s="1368"/>
      <c r="E117" s="620"/>
    </row>
    <row r="118" spans="2:5" s="619" customFormat="1" ht="45" customHeight="1" thickBot="1" x14ac:dyDescent="0.35">
      <c r="B118" s="1826"/>
      <c r="C118" s="1373"/>
      <c r="D118" s="1374"/>
      <c r="E118" s="620"/>
    </row>
    <row r="119" spans="2:5" s="619" customFormat="1" ht="49.5" customHeight="1" thickBot="1" x14ac:dyDescent="0.35">
      <c r="B119" s="1375" t="s">
        <v>1335</v>
      </c>
      <c r="C119" s="1376"/>
      <c r="D119" s="1377"/>
      <c r="E119" s="620"/>
    </row>
    <row r="120" spans="2:5" s="619" customFormat="1" ht="56.25" customHeight="1" thickBot="1" x14ac:dyDescent="0.35">
      <c r="B120" s="1378" t="s">
        <v>674</v>
      </c>
      <c r="C120" s="1379"/>
      <c r="D120" s="1380"/>
      <c r="E120" s="620"/>
    </row>
    <row r="121" spans="2:5" s="619" customFormat="1" x14ac:dyDescent="0.3"/>
  </sheetData>
  <sheetProtection algorithmName="SHA-512" hashValue="O4DRTmge91DzvblSVFp0GQW8QZfWSAIW+r6EBsRlDRSzgAYW6Pt2Mvt5w4x7DnsL9xYxDHYlUCFU806B0cV9FQ==" saltValue="3MjCCdF8wsix14luFvQsOw==" spinCount="100000" sheet="1" objects="1" scenarios="1"/>
  <protectedRanges>
    <protectedRange sqref="C34 C21:C28" name="Rango6_1"/>
    <protectedRange sqref="C29 D34 E23:F28" name="Rango4_1"/>
    <protectedRange sqref="E34:F34 E29:F29 E21:F22" name="Rango3_1"/>
    <protectedRange sqref="K21:K35" name="Rango2_1"/>
    <protectedRange sqref="D25" name="Rango4"/>
    <protectedRange sqref="D21:D24" name="Rango4_2"/>
    <protectedRange sqref="D26:D31" name="Rango4_3"/>
  </protectedRanges>
  <mergeCells count="68">
    <mergeCell ref="A5:H5"/>
    <mergeCell ref="A1:I1"/>
    <mergeCell ref="A2:B3"/>
    <mergeCell ref="K2:K3"/>
    <mergeCell ref="A4:H4"/>
    <mergeCell ref="C2:J3"/>
    <mergeCell ref="A6:H6"/>
    <mergeCell ref="A7:H7"/>
    <mergeCell ref="A8:B8"/>
    <mergeCell ref="C8:D8"/>
    <mergeCell ref="A9:B9"/>
    <mergeCell ref="C9:D9"/>
    <mergeCell ref="G9:H9"/>
    <mergeCell ref="G8:H8"/>
    <mergeCell ref="J19:J20"/>
    <mergeCell ref="K19:K20"/>
    <mergeCell ref="A17:K17"/>
    <mergeCell ref="A10:B10"/>
    <mergeCell ref="C10:D10"/>
    <mergeCell ref="G10:H10"/>
    <mergeCell ref="A11:B11"/>
    <mergeCell ref="C11:D11"/>
    <mergeCell ref="G11:H11"/>
    <mergeCell ref="A19:A20"/>
    <mergeCell ref="B19:F19"/>
    <mergeCell ref="G19:G20"/>
    <mergeCell ref="H19:H20"/>
    <mergeCell ref="I19:I20"/>
    <mergeCell ref="E42:F42"/>
    <mergeCell ref="H21:H30"/>
    <mergeCell ref="J21:J30"/>
    <mergeCell ref="I27:I28"/>
    <mergeCell ref="B33:E33"/>
    <mergeCell ref="B34:C34"/>
    <mergeCell ref="A35:N35"/>
    <mergeCell ref="E37:F37"/>
    <mergeCell ref="E38:F38"/>
    <mergeCell ref="E39:F39"/>
    <mergeCell ref="E40:F40"/>
    <mergeCell ref="E41:F41"/>
    <mergeCell ref="A54:H54"/>
    <mergeCell ref="E43:F43"/>
    <mergeCell ref="E44:F44"/>
    <mergeCell ref="E45:F45"/>
    <mergeCell ref="E46:F46"/>
    <mergeCell ref="E47:F47"/>
    <mergeCell ref="E48:F48"/>
    <mergeCell ref="E49:F49"/>
    <mergeCell ref="E50:F50"/>
    <mergeCell ref="E51:F51"/>
    <mergeCell ref="E52:F52"/>
    <mergeCell ref="E53:F53"/>
    <mergeCell ref="A57:I65"/>
    <mergeCell ref="B66:E66"/>
    <mergeCell ref="J68:K68"/>
    <mergeCell ref="L68:M68"/>
    <mergeCell ref="B69:G69"/>
    <mergeCell ref="J69:K69"/>
    <mergeCell ref="L69:M69"/>
    <mergeCell ref="B113:B115"/>
    <mergeCell ref="B116:B118"/>
    <mergeCell ref="B79:C79"/>
    <mergeCell ref="B81:E81"/>
    <mergeCell ref="B99:C99"/>
    <mergeCell ref="B100:C100"/>
    <mergeCell ref="B102:G102"/>
    <mergeCell ref="B110:B111"/>
    <mergeCell ref="C110:E111"/>
  </mergeCells>
  <conditionalFormatting sqref="D99">
    <cfRule type="expression" dxfId="79" priority="27">
      <formula>$D$99="Abstención"</formula>
    </cfRule>
    <cfRule type="expression" dxfId="78" priority="28">
      <formula>$D$99="No Razonable"</formula>
    </cfRule>
    <cfRule type="expression" dxfId="77" priority="29">
      <formula>$D$99="Con Salvedades"</formula>
    </cfRule>
    <cfRule type="expression" dxfId="76" priority="30">
      <formula>$D$99="Razonable"</formula>
    </cfRule>
  </conditionalFormatting>
  <conditionalFormatting sqref="D100">
    <cfRule type="expression" dxfId="75" priority="23">
      <formula>$D$100="Abstención"</formula>
    </cfRule>
    <cfRule type="expression" dxfId="74" priority="24">
      <formula>$D$100="No Razonable"</formula>
    </cfRule>
    <cfRule type="expression" dxfId="73" priority="25">
      <formula>$D$100="Con Salvedades"</formula>
    </cfRule>
    <cfRule type="expression" dxfId="72" priority="26">
      <formula>$D$100="Razonable"</formula>
    </cfRule>
  </conditionalFormatting>
  <conditionalFormatting sqref="G99">
    <cfRule type="expression" dxfId="71" priority="3">
      <formula>$D$99="Abstención"</formula>
    </cfRule>
    <cfRule type="containsText" dxfId="70" priority="4" operator="containsText" text="No Razonable">
      <formula>NOT(ISERROR(SEARCH("No Razonable",G99)))</formula>
    </cfRule>
    <cfRule type="containsText" dxfId="69" priority="5" operator="containsText" text="Con Salvedades">
      <formula>NOT(ISERROR(SEARCH("Con Salvedades",G99)))</formula>
    </cfRule>
    <cfRule type="expression" dxfId="68" priority="6">
      <formula>$D$99="Razonable"</formula>
    </cfRule>
  </conditionalFormatting>
  <conditionalFormatting sqref="H13">
    <cfRule type="cellIs" dxfId="67" priority="31" operator="equal">
      <formula>"INEXISTENTE"</formula>
    </cfRule>
    <cfRule type="cellIs" dxfId="66" priority="32" operator="equal">
      <formula>"INADECUADO"</formula>
    </cfRule>
    <cfRule type="cellIs" dxfId="65" priority="33" operator="equal">
      <formula>"PARCIALMENTE ADECUADO"</formula>
    </cfRule>
    <cfRule type="cellIs" dxfId="64" priority="34" operator="equal">
      <formula>"ADECUADO"</formula>
    </cfRule>
    <cfRule type="cellIs" dxfId="63" priority="35" operator="equal">
      <formula>"ERROR"</formula>
    </cfRule>
  </conditionalFormatting>
  <conditionalFormatting sqref="A2 C2">
    <cfRule type="cellIs" dxfId="62" priority="1" operator="equal">
      <formula>"ERROR"</formula>
    </cfRule>
  </conditionalFormatting>
  <dataValidations count="2">
    <dataValidation type="list" allowBlank="1" showInputMessage="1" showErrorMessage="1" sqref="L56">
      <formula1>#REF!</formula1>
    </dataValidation>
    <dataValidation type="custom" allowBlank="1" showInputMessage="1" showErrorMessage="1" sqref="K31:K33 K21:K26 K29">
      <formula1>#REF!&lt;=100%</formula1>
    </dataValidation>
  </dataValidations>
  <pageMargins left="0.7" right="0.7" top="0.75" bottom="0.75" header="0.3" footer="0.3"/>
  <pageSetup orientation="portrait" r:id="rId1"/>
  <ignoredErrors>
    <ignoredError sqref="H11 H9 H1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'C:\C:\Users\USER\Documents\Formatos Auditoria Financiera\[PVCGF-04-06 Procesos presupuesto de ingresos y de gastos o costos y gastos.xlsx]LISTAS'!#REF!</xm:f>
          </x14:formula1>
          <xm:sqref>L54</xm:sqref>
        </x14:dataValidation>
        <x14:dataValidation type="list" allowBlank="1" showInputMessage="1" showErrorMessage="1">
          <x14:formula1>
            <xm:f>'LISTAS PPTO'!$T$3:$T$10</xm:f>
          </x14:formula1>
          <xm:sqref>D38:D53</xm:sqref>
        </x14:dataValidation>
        <x14:dataValidation type="list" allowBlank="1" showInputMessage="1" showErrorMessage="1">
          <x14:formula1>
            <xm:f>'LISTAS PPTO'!$AJ$4:$AJ$77</xm:f>
          </x14:formula1>
          <xm:sqref>E38:F53</xm:sqref>
        </x14:dataValidation>
        <x14:dataValidation type="list" allowBlank="1" showInputMessage="1" showErrorMessage="1">
          <x14:formula1>
            <xm:f>'LISTAS PPTO'!$U$3:$U$22</xm:f>
          </x14:formula1>
          <xm:sqref>G38:G53</xm:sqref>
        </x14:dataValidation>
        <x14:dataValidation type="list" allowBlank="1" showInputMessage="1" showErrorMessage="1">
          <x14:formula1>
            <xm:f>'LISTAS PPTO'!$W$3:$W$13</xm:f>
          </x14:formula1>
          <xm:sqref>H38:H53</xm:sqref>
        </x14:dataValidation>
        <x14:dataValidation type="list" allowBlank="1" showInputMessage="1" showErrorMessage="1">
          <x14:formula1>
            <xm:f>'LISTAS PPTO'!$V$3:$V$11</xm:f>
          </x14:formula1>
          <xm:sqref>E71:E78 M38:M53</xm:sqref>
        </x14:dataValidation>
        <x14:dataValidation type="list" allowBlank="1" showInputMessage="1" showErrorMessage="1">
          <x14:formula1>
            <xm:f>'LISTAS PPTO'!$S$3:$S$26</xm:f>
          </x14:formula1>
          <xm:sqref>C38:C53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Q561"/>
  <sheetViews>
    <sheetView topLeftCell="K11" zoomScaleNormal="100" workbookViewId="0">
      <selection activeCell="S25" sqref="S25"/>
    </sheetView>
  </sheetViews>
  <sheetFormatPr baseColWidth="10" defaultRowHeight="15" x14ac:dyDescent="0.25"/>
  <cols>
    <col min="1" max="1" width="5.44140625" style="1042" customWidth="1"/>
    <col min="2" max="2" width="27.33203125" style="1097" customWidth="1"/>
    <col min="3" max="3" width="31.33203125" style="1097" customWidth="1"/>
    <col min="4" max="4" width="37.6640625" style="1031" customWidth="1"/>
    <col min="5" max="6" width="21.33203125" style="1031" customWidth="1"/>
    <col min="7" max="7" width="14.88671875" style="1031" customWidth="1"/>
    <col min="8" max="9" width="18.109375" style="1031" customWidth="1"/>
    <col min="10" max="10" width="15.44140625" style="1031" customWidth="1"/>
    <col min="11" max="11" width="17.88671875" style="1095" customWidth="1"/>
    <col min="12" max="12" width="15.109375" style="1097" customWidth="1"/>
    <col min="13" max="13" width="15.44140625" style="1097" customWidth="1"/>
    <col min="14" max="14" width="15.6640625" style="1095" customWidth="1"/>
    <col min="15" max="15" width="16.44140625" style="1097" customWidth="1"/>
    <col min="16" max="16" width="15.44140625" style="1097" customWidth="1"/>
    <col min="17" max="17" width="17" style="1097" customWidth="1"/>
    <col min="18" max="18" width="14.33203125" style="1097" customWidth="1"/>
    <col min="19" max="19" width="15.44140625" style="1097" customWidth="1"/>
    <col min="20" max="20" width="16" style="1098" customWidth="1"/>
    <col min="21" max="21" width="16" style="1097" customWidth="1"/>
    <col min="22" max="22" width="15" style="1097" customWidth="1"/>
    <col min="23" max="23" width="10.88671875" style="1100" customWidth="1"/>
    <col min="24" max="24" width="5.5546875" style="1042" customWidth="1"/>
    <col min="25" max="250" width="11.5546875" style="1042"/>
    <col min="251" max="251" width="5.44140625" style="1042" customWidth="1"/>
    <col min="252" max="252" width="34.44140625" style="1042" customWidth="1"/>
    <col min="253" max="253" width="27.6640625" style="1042" customWidth="1"/>
    <col min="254" max="254" width="18.109375" style="1042" customWidth="1"/>
    <col min="255" max="255" width="24" style="1042" customWidth="1"/>
    <col min="256" max="256" width="16" style="1042" customWidth="1"/>
    <col min="257" max="257" width="16.109375" style="1042" customWidth="1"/>
    <col min="258" max="258" width="15.6640625" style="1042" customWidth="1"/>
    <col min="259" max="259" width="17.44140625" style="1042" customWidth="1"/>
    <col min="260" max="261" width="16.6640625" style="1042" customWidth="1"/>
    <col min="262" max="262" width="13.109375" style="1042" customWidth="1"/>
    <col min="263" max="263" width="14" style="1042" customWidth="1"/>
    <col min="264" max="264" width="17.33203125" style="1042" customWidth="1"/>
    <col min="265" max="265" width="16.44140625" style="1042" customWidth="1"/>
    <col min="266" max="267" width="15.44140625" style="1042" customWidth="1"/>
    <col min="268" max="268" width="25.6640625" style="1042" customWidth="1"/>
    <col min="269" max="269" width="31.6640625" style="1042" customWidth="1"/>
    <col min="270" max="270" width="34.109375" style="1042" customWidth="1"/>
    <col min="271" max="271" width="37.6640625" style="1042" customWidth="1"/>
    <col min="272" max="272" width="48.6640625" style="1042" customWidth="1"/>
    <col min="273" max="273" width="29.44140625" style="1042" customWidth="1"/>
    <col min="274" max="506" width="11.5546875" style="1042"/>
    <col min="507" max="507" width="5.44140625" style="1042" customWidth="1"/>
    <col min="508" max="508" width="34.44140625" style="1042" customWidth="1"/>
    <col min="509" max="509" width="27.6640625" style="1042" customWidth="1"/>
    <col min="510" max="510" width="18.109375" style="1042" customWidth="1"/>
    <col min="511" max="511" width="24" style="1042" customWidth="1"/>
    <col min="512" max="512" width="16" style="1042" customWidth="1"/>
    <col min="513" max="513" width="16.109375" style="1042" customWidth="1"/>
    <col min="514" max="514" width="15.6640625" style="1042" customWidth="1"/>
    <col min="515" max="515" width="17.44140625" style="1042" customWidth="1"/>
    <col min="516" max="517" width="16.6640625" style="1042" customWidth="1"/>
    <col min="518" max="518" width="13.109375" style="1042" customWidth="1"/>
    <col min="519" max="519" width="14" style="1042" customWidth="1"/>
    <col min="520" max="520" width="17.33203125" style="1042" customWidth="1"/>
    <col min="521" max="521" width="16.44140625" style="1042" customWidth="1"/>
    <col min="522" max="523" width="15.44140625" style="1042" customWidth="1"/>
    <col min="524" max="524" width="25.6640625" style="1042" customWidth="1"/>
    <col min="525" max="525" width="31.6640625" style="1042" customWidth="1"/>
    <col min="526" max="526" width="34.109375" style="1042" customWidth="1"/>
    <col min="527" max="527" width="37.6640625" style="1042" customWidth="1"/>
    <col min="528" max="528" width="48.6640625" style="1042" customWidth="1"/>
    <col min="529" max="529" width="29.44140625" style="1042" customWidth="1"/>
    <col min="530" max="762" width="11.5546875" style="1042"/>
    <col min="763" max="763" width="5.44140625" style="1042" customWidth="1"/>
    <col min="764" max="764" width="34.44140625" style="1042" customWidth="1"/>
    <col min="765" max="765" width="27.6640625" style="1042" customWidth="1"/>
    <col min="766" max="766" width="18.109375" style="1042" customWidth="1"/>
    <col min="767" max="767" width="24" style="1042" customWidth="1"/>
    <col min="768" max="768" width="16" style="1042" customWidth="1"/>
    <col min="769" max="769" width="16.109375" style="1042" customWidth="1"/>
    <col min="770" max="770" width="15.6640625" style="1042" customWidth="1"/>
    <col min="771" max="771" width="17.44140625" style="1042" customWidth="1"/>
    <col min="772" max="773" width="16.6640625" style="1042" customWidth="1"/>
    <col min="774" max="774" width="13.109375" style="1042" customWidth="1"/>
    <col min="775" max="775" width="14" style="1042" customWidth="1"/>
    <col min="776" max="776" width="17.33203125" style="1042" customWidth="1"/>
    <col min="777" max="777" width="16.44140625" style="1042" customWidth="1"/>
    <col min="778" max="779" width="15.44140625" style="1042" customWidth="1"/>
    <col min="780" max="780" width="25.6640625" style="1042" customWidth="1"/>
    <col min="781" max="781" width="31.6640625" style="1042" customWidth="1"/>
    <col min="782" max="782" width="34.109375" style="1042" customWidth="1"/>
    <col min="783" max="783" width="37.6640625" style="1042" customWidth="1"/>
    <col min="784" max="784" width="48.6640625" style="1042" customWidth="1"/>
    <col min="785" max="785" width="29.44140625" style="1042" customWidth="1"/>
    <col min="786" max="1018" width="11.5546875" style="1042"/>
    <col min="1019" max="1019" width="5.44140625" style="1042" customWidth="1"/>
    <col min="1020" max="1020" width="34.44140625" style="1042" customWidth="1"/>
    <col min="1021" max="1021" width="27.6640625" style="1042" customWidth="1"/>
    <col min="1022" max="1022" width="18.109375" style="1042" customWidth="1"/>
    <col min="1023" max="1023" width="24" style="1042" customWidth="1"/>
    <col min="1024" max="1024" width="16" style="1042" customWidth="1"/>
    <col min="1025" max="1025" width="16.109375" style="1042" customWidth="1"/>
    <col min="1026" max="1026" width="15.6640625" style="1042" customWidth="1"/>
    <col min="1027" max="1027" width="17.44140625" style="1042" customWidth="1"/>
    <col min="1028" max="1029" width="16.6640625" style="1042" customWidth="1"/>
    <col min="1030" max="1030" width="13.109375" style="1042" customWidth="1"/>
    <col min="1031" max="1031" width="14" style="1042" customWidth="1"/>
    <col min="1032" max="1032" width="17.33203125" style="1042" customWidth="1"/>
    <col min="1033" max="1033" width="16.44140625" style="1042" customWidth="1"/>
    <col min="1034" max="1035" width="15.44140625" style="1042" customWidth="1"/>
    <col min="1036" max="1036" width="25.6640625" style="1042" customWidth="1"/>
    <col min="1037" max="1037" width="31.6640625" style="1042" customWidth="1"/>
    <col min="1038" max="1038" width="34.109375" style="1042" customWidth="1"/>
    <col min="1039" max="1039" width="37.6640625" style="1042" customWidth="1"/>
    <col min="1040" max="1040" width="48.6640625" style="1042" customWidth="1"/>
    <col min="1041" max="1041" width="29.44140625" style="1042" customWidth="1"/>
    <col min="1042" max="1274" width="11.5546875" style="1042"/>
    <col min="1275" max="1275" width="5.44140625" style="1042" customWidth="1"/>
    <col min="1276" max="1276" width="34.44140625" style="1042" customWidth="1"/>
    <col min="1277" max="1277" width="27.6640625" style="1042" customWidth="1"/>
    <col min="1278" max="1278" width="18.109375" style="1042" customWidth="1"/>
    <col min="1279" max="1279" width="24" style="1042" customWidth="1"/>
    <col min="1280" max="1280" width="16" style="1042" customWidth="1"/>
    <col min="1281" max="1281" width="16.109375" style="1042" customWidth="1"/>
    <col min="1282" max="1282" width="15.6640625" style="1042" customWidth="1"/>
    <col min="1283" max="1283" width="17.44140625" style="1042" customWidth="1"/>
    <col min="1284" max="1285" width="16.6640625" style="1042" customWidth="1"/>
    <col min="1286" max="1286" width="13.109375" style="1042" customWidth="1"/>
    <col min="1287" max="1287" width="14" style="1042" customWidth="1"/>
    <col min="1288" max="1288" width="17.33203125" style="1042" customWidth="1"/>
    <col min="1289" max="1289" width="16.44140625" style="1042" customWidth="1"/>
    <col min="1290" max="1291" width="15.44140625" style="1042" customWidth="1"/>
    <col min="1292" max="1292" width="25.6640625" style="1042" customWidth="1"/>
    <col min="1293" max="1293" width="31.6640625" style="1042" customWidth="1"/>
    <col min="1294" max="1294" width="34.109375" style="1042" customWidth="1"/>
    <col min="1295" max="1295" width="37.6640625" style="1042" customWidth="1"/>
    <col min="1296" max="1296" width="48.6640625" style="1042" customWidth="1"/>
    <col min="1297" max="1297" width="29.44140625" style="1042" customWidth="1"/>
    <col min="1298" max="1530" width="11.5546875" style="1042"/>
    <col min="1531" max="1531" width="5.44140625" style="1042" customWidth="1"/>
    <col min="1532" max="1532" width="34.44140625" style="1042" customWidth="1"/>
    <col min="1533" max="1533" width="27.6640625" style="1042" customWidth="1"/>
    <col min="1534" max="1534" width="18.109375" style="1042" customWidth="1"/>
    <col min="1535" max="1535" width="24" style="1042" customWidth="1"/>
    <col min="1536" max="1536" width="16" style="1042" customWidth="1"/>
    <col min="1537" max="1537" width="16.109375" style="1042" customWidth="1"/>
    <col min="1538" max="1538" width="15.6640625" style="1042" customWidth="1"/>
    <col min="1539" max="1539" width="17.44140625" style="1042" customWidth="1"/>
    <col min="1540" max="1541" width="16.6640625" style="1042" customWidth="1"/>
    <col min="1542" max="1542" width="13.109375" style="1042" customWidth="1"/>
    <col min="1543" max="1543" width="14" style="1042" customWidth="1"/>
    <col min="1544" max="1544" width="17.33203125" style="1042" customWidth="1"/>
    <col min="1545" max="1545" width="16.44140625" style="1042" customWidth="1"/>
    <col min="1546" max="1547" width="15.44140625" style="1042" customWidth="1"/>
    <col min="1548" max="1548" width="25.6640625" style="1042" customWidth="1"/>
    <col min="1549" max="1549" width="31.6640625" style="1042" customWidth="1"/>
    <col min="1550" max="1550" width="34.109375" style="1042" customWidth="1"/>
    <col min="1551" max="1551" width="37.6640625" style="1042" customWidth="1"/>
    <col min="1552" max="1552" width="48.6640625" style="1042" customWidth="1"/>
    <col min="1553" max="1553" width="29.44140625" style="1042" customWidth="1"/>
    <col min="1554" max="1786" width="11.5546875" style="1042"/>
    <col min="1787" max="1787" width="5.44140625" style="1042" customWidth="1"/>
    <col min="1788" max="1788" width="34.44140625" style="1042" customWidth="1"/>
    <col min="1789" max="1789" width="27.6640625" style="1042" customWidth="1"/>
    <col min="1790" max="1790" width="18.109375" style="1042" customWidth="1"/>
    <col min="1791" max="1791" width="24" style="1042" customWidth="1"/>
    <col min="1792" max="1792" width="16" style="1042" customWidth="1"/>
    <col min="1793" max="1793" width="16.109375" style="1042" customWidth="1"/>
    <col min="1794" max="1794" width="15.6640625" style="1042" customWidth="1"/>
    <col min="1795" max="1795" width="17.44140625" style="1042" customWidth="1"/>
    <col min="1796" max="1797" width="16.6640625" style="1042" customWidth="1"/>
    <col min="1798" max="1798" width="13.109375" style="1042" customWidth="1"/>
    <col min="1799" max="1799" width="14" style="1042" customWidth="1"/>
    <col min="1800" max="1800" width="17.33203125" style="1042" customWidth="1"/>
    <col min="1801" max="1801" width="16.44140625" style="1042" customWidth="1"/>
    <col min="1802" max="1803" width="15.44140625" style="1042" customWidth="1"/>
    <col min="1804" max="1804" width="25.6640625" style="1042" customWidth="1"/>
    <col min="1805" max="1805" width="31.6640625" style="1042" customWidth="1"/>
    <col min="1806" max="1806" width="34.109375" style="1042" customWidth="1"/>
    <col min="1807" max="1807" width="37.6640625" style="1042" customWidth="1"/>
    <col min="1808" max="1808" width="48.6640625" style="1042" customWidth="1"/>
    <col min="1809" max="1809" width="29.44140625" style="1042" customWidth="1"/>
    <col min="1810" max="2042" width="11.5546875" style="1042"/>
    <col min="2043" max="2043" width="5.44140625" style="1042" customWidth="1"/>
    <col min="2044" max="2044" width="34.44140625" style="1042" customWidth="1"/>
    <col min="2045" max="2045" width="27.6640625" style="1042" customWidth="1"/>
    <col min="2046" max="2046" width="18.109375" style="1042" customWidth="1"/>
    <col min="2047" max="2047" width="24" style="1042" customWidth="1"/>
    <col min="2048" max="2048" width="16" style="1042" customWidth="1"/>
    <col min="2049" max="2049" width="16.109375" style="1042" customWidth="1"/>
    <col min="2050" max="2050" width="15.6640625" style="1042" customWidth="1"/>
    <col min="2051" max="2051" width="17.44140625" style="1042" customWidth="1"/>
    <col min="2052" max="2053" width="16.6640625" style="1042" customWidth="1"/>
    <col min="2054" max="2054" width="13.109375" style="1042" customWidth="1"/>
    <col min="2055" max="2055" width="14" style="1042" customWidth="1"/>
    <col min="2056" max="2056" width="17.33203125" style="1042" customWidth="1"/>
    <col min="2057" max="2057" width="16.44140625" style="1042" customWidth="1"/>
    <col min="2058" max="2059" width="15.44140625" style="1042" customWidth="1"/>
    <col min="2060" max="2060" width="25.6640625" style="1042" customWidth="1"/>
    <col min="2061" max="2061" width="31.6640625" style="1042" customWidth="1"/>
    <col min="2062" max="2062" width="34.109375" style="1042" customWidth="1"/>
    <col min="2063" max="2063" width="37.6640625" style="1042" customWidth="1"/>
    <col min="2064" max="2064" width="48.6640625" style="1042" customWidth="1"/>
    <col min="2065" max="2065" width="29.44140625" style="1042" customWidth="1"/>
    <col min="2066" max="2298" width="11.5546875" style="1042"/>
    <col min="2299" max="2299" width="5.44140625" style="1042" customWidth="1"/>
    <col min="2300" max="2300" width="34.44140625" style="1042" customWidth="1"/>
    <col min="2301" max="2301" width="27.6640625" style="1042" customWidth="1"/>
    <col min="2302" max="2302" width="18.109375" style="1042" customWidth="1"/>
    <col min="2303" max="2303" width="24" style="1042" customWidth="1"/>
    <col min="2304" max="2304" width="16" style="1042" customWidth="1"/>
    <col min="2305" max="2305" width="16.109375" style="1042" customWidth="1"/>
    <col min="2306" max="2306" width="15.6640625" style="1042" customWidth="1"/>
    <col min="2307" max="2307" width="17.44140625" style="1042" customWidth="1"/>
    <col min="2308" max="2309" width="16.6640625" style="1042" customWidth="1"/>
    <col min="2310" max="2310" width="13.109375" style="1042" customWidth="1"/>
    <col min="2311" max="2311" width="14" style="1042" customWidth="1"/>
    <col min="2312" max="2312" width="17.33203125" style="1042" customWidth="1"/>
    <col min="2313" max="2313" width="16.44140625" style="1042" customWidth="1"/>
    <col min="2314" max="2315" width="15.44140625" style="1042" customWidth="1"/>
    <col min="2316" max="2316" width="25.6640625" style="1042" customWidth="1"/>
    <col min="2317" max="2317" width="31.6640625" style="1042" customWidth="1"/>
    <col min="2318" max="2318" width="34.109375" style="1042" customWidth="1"/>
    <col min="2319" max="2319" width="37.6640625" style="1042" customWidth="1"/>
    <col min="2320" max="2320" width="48.6640625" style="1042" customWidth="1"/>
    <col min="2321" max="2321" width="29.44140625" style="1042" customWidth="1"/>
    <col min="2322" max="2554" width="11.5546875" style="1042"/>
    <col min="2555" max="2555" width="5.44140625" style="1042" customWidth="1"/>
    <col min="2556" max="2556" width="34.44140625" style="1042" customWidth="1"/>
    <col min="2557" max="2557" width="27.6640625" style="1042" customWidth="1"/>
    <col min="2558" max="2558" width="18.109375" style="1042" customWidth="1"/>
    <col min="2559" max="2559" width="24" style="1042" customWidth="1"/>
    <col min="2560" max="2560" width="16" style="1042" customWidth="1"/>
    <col min="2561" max="2561" width="16.109375" style="1042" customWidth="1"/>
    <col min="2562" max="2562" width="15.6640625" style="1042" customWidth="1"/>
    <col min="2563" max="2563" width="17.44140625" style="1042" customWidth="1"/>
    <col min="2564" max="2565" width="16.6640625" style="1042" customWidth="1"/>
    <col min="2566" max="2566" width="13.109375" style="1042" customWidth="1"/>
    <col min="2567" max="2567" width="14" style="1042" customWidth="1"/>
    <col min="2568" max="2568" width="17.33203125" style="1042" customWidth="1"/>
    <col min="2569" max="2569" width="16.44140625" style="1042" customWidth="1"/>
    <col min="2570" max="2571" width="15.44140625" style="1042" customWidth="1"/>
    <col min="2572" max="2572" width="25.6640625" style="1042" customWidth="1"/>
    <col min="2573" max="2573" width="31.6640625" style="1042" customWidth="1"/>
    <col min="2574" max="2574" width="34.109375" style="1042" customWidth="1"/>
    <col min="2575" max="2575" width="37.6640625" style="1042" customWidth="1"/>
    <col min="2576" max="2576" width="48.6640625" style="1042" customWidth="1"/>
    <col min="2577" max="2577" width="29.44140625" style="1042" customWidth="1"/>
    <col min="2578" max="2810" width="11.5546875" style="1042"/>
    <col min="2811" max="2811" width="5.44140625" style="1042" customWidth="1"/>
    <col min="2812" max="2812" width="34.44140625" style="1042" customWidth="1"/>
    <col min="2813" max="2813" width="27.6640625" style="1042" customWidth="1"/>
    <col min="2814" max="2814" width="18.109375" style="1042" customWidth="1"/>
    <col min="2815" max="2815" width="24" style="1042" customWidth="1"/>
    <col min="2816" max="2816" width="16" style="1042" customWidth="1"/>
    <col min="2817" max="2817" width="16.109375" style="1042" customWidth="1"/>
    <col min="2818" max="2818" width="15.6640625" style="1042" customWidth="1"/>
    <col min="2819" max="2819" width="17.44140625" style="1042" customWidth="1"/>
    <col min="2820" max="2821" width="16.6640625" style="1042" customWidth="1"/>
    <col min="2822" max="2822" width="13.109375" style="1042" customWidth="1"/>
    <col min="2823" max="2823" width="14" style="1042" customWidth="1"/>
    <col min="2824" max="2824" width="17.33203125" style="1042" customWidth="1"/>
    <col min="2825" max="2825" width="16.44140625" style="1042" customWidth="1"/>
    <col min="2826" max="2827" width="15.44140625" style="1042" customWidth="1"/>
    <col min="2828" max="2828" width="25.6640625" style="1042" customWidth="1"/>
    <col min="2829" max="2829" width="31.6640625" style="1042" customWidth="1"/>
    <col min="2830" max="2830" width="34.109375" style="1042" customWidth="1"/>
    <col min="2831" max="2831" width="37.6640625" style="1042" customWidth="1"/>
    <col min="2832" max="2832" width="48.6640625" style="1042" customWidth="1"/>
    <col min="2833" max="2833" width="29.44140625" style="1042" customWidth="1"/>
    <col min="2834" max="3066" width="11.5546875" style="1042"/>
    <col min="3067" max="3067" width="5.44140625" style="1042" customWidth="1"/>
    <col min="3068" max="3068" width="34.44140625" style="1042" customWidth="1"/>
    <col min="3069" max="3069" width="27.6640625" style="1042" customWidth="1"/>
    <col min="3070" max="3070" width="18.109375" style="1042" customWidth="1"/>
    <col min="3071" max="3071" width="24" style="1042" customWidth="1"/>
    <col min="3072" max="3072" width="16" style="1042" customWidth="1"/>
    <col min="3073" max="3073" width="16.109375" style="1042" customWidth="1"/>
    <col min="3074" max="3074" width="15.6640625" style="1042" customWidth="1"/>
    <col min="3075" max="3075" width="17.44140625" style="1042" customWidth="1"/>
    <col min="3076" max="3077" width="16.6640625" style="1042" customWidth="1"/>
    <col min="3078" max="3078" width="13.109375" style="1042" customWidth="1"/>
    <col min="3079" max="3079" width="14" style="1042" customWidth="1"/>
    <col min="3080" max="3080" width="17.33203125" style="1042" customWidth="1"/>
    <col min="3081" max="3081" width="16.44140625" style="1042" customWidth="1"/>
    <col min="3082" max="3083" width="15.44140625" style="1042" customWidth="1"/>
    <col min="3084" max="3084" width="25.6640625" style="1042" customWidth="1"/>
    <col min="3085" max="3085" width="31.6640625" style="1042" customWidth="1"/>
    <col min="3086" max="3086" width="34.109375" style="1042" customWidth="1"/>
    <col min="3087" max="3087" width="37.6640625" style="1042" customWidth="1"/>
    <col min="3088" max="3088" width="48.6640625" style="1042" customWidth="1"/>
    <col min="3089" max="3089" width="29.44140625" style="1042" customWidth="1"/>
    <col min="3090" max="3322" width="11.5546875" style="1042"/>
    <col min="3323" max="3323" width="5.44140625" style="1042" customWidth="1"/>
    <col min="3324" max="3324" width="34.44140625" style="1042" customWidth="1"/>
    <col min="3325" max="3325" width="27.6640625" style="1042" customWidth="1"/>
    <col min="3326" max="3326" width="18.109375" style="1042" customWidth="1"/>
    <col min="3327" max="3327" width="24" style="1042" customWidth="1"/>
    <col min="3328" max="3328" width="16" style="1042" customWidth="1"/>
    <col min="3329" max="3329" width="16.109375" style="1042" customWidth="1"/>
    <col min="3330" max="3330" width="15.6640625" style="1042" customWidth="1"/>
    <col min="3331" max="3331" width="17.44140625" style="1042" customWidth="1"/>
    <col min="3332" max="3333" width="16.6640625" style="1042" customWidth="1"/>
    <col min="3334" max="3334" width="13.109375" style="1042" customWidth="1"/>
    <col min="3335" max="3335" width="14" style="1042" customWidth="1"/>
    <col min="3336" max="3336" width="17.33203125" style="1042" customWidth="1"/>
    <col min="3337" max="3337" width="16.44140625" style="1042" customWidth="1"/>
    <col min="3338" max="3339" width="15.44140625" style="1042" customWidth="1"/>
    <col min="3340" max="3340" width="25.6640625" style="1042" customWidth="1"/>
    <col min="3341" max="3341" width="31.6640625" style="1042" customWidth="1"/>
    <col min="3342" max="3342" width="34.109375" style="1042" customWidth="1"/>
    <col min="3343" max="3343" width="37.6640625" style="1042" customWidth="1"/>
    <col min="3344" max="3344" width="48.6640625" style="1042" customWidth="1"/>
    <col min="3345" max="3345" width="29.44140625" style="1042" customWidth="1"/>
    <col min="3346" max="3578" width="11.5546875" style="1042"/>
    <col min="3579" max="3579" width="5.44140625" style="1042" customWidth="1"/>
    <col min="3580" max="3580" width="34.44140625" style="1042" customWidth="1"/>
    <col min="3581" max="3581" width="27.6640625" style="1042" customWidth="1"/>
    <col min="3582" max="3582" width="18.109375" style="1042" customWidth="1"/>
    <col min="3583" max="3583" width="24" style="1042" customWidth="1"/>
    <col min="3584" max="3584" width="16" style="1042" customWidth="1"/>
    <col min="3585" max="3585" width="16.109375" style="1042" customWidth="1"/>
    <col min="3586" max="3586" width="15.6640625" style="1042" customWidth="1"/>
    <col min="3587" max="3587" width="17.44140625" style="1042" customWidth="1"/>
    <col min="3588" max="3589" width="16.6640625" style="1042" customWidth="1"/>
    <col min="3590" max="3590" width="13.109375" style="1042" customWidth="1"/>
    <col min="3591" max="3591" width="14" style="1042" customWidth="1"/>
    <col min="3592" max="3592" width="17.33203125" style="1042" customWidth="1"/>
    <col min="3593" max="3593" width="16.44140625" style="1042" customWidth="1"/>
    <col min="3594" max="3595" width="15.44140625" style="1042" customWidth="1"/>
    <col min="3596" max="3596" width="25.6640625" style="1042" customWidth="1"/>
    <col min="3597" max="3597" width="31.6640625" style="1042" customWidth="1"/>
    <col min="3598" max="3598" width="34.109375" style="1042" customWidth="1"/>
    <col min="3599" max="3599" width="37.6640625" style="1042" customWidth="1"/>
    <col min="3600" max="3600" width="48.6640625" style="1042" customWidth="1"/>
    <col min="3601" max="3601" width="29.44140625" style="1042" customWidth="1"/>
    <col min="3602" max="3834" width="11.5546875" style="1042"/>
    <col min="3835" max="3835" width="5.44140625" style="1042" customWidth="1"/>
    <col min="3836" max="3836" width="34.44140625" style="1042" customWidth="1"/>
    <col min="3837" max="3837" width="27.6640625" style="1042" customWidth="1"/>
    <col min="3838" max="3838" width="18.109375" style="1042" customWidth="1"/>
    <col min="3839" max="3839" width="24" style="1042" customWidth="1"/>
    <col min="3840" max="3840" width="16" style="1042" customWidth="1"/>
    <col min="3841" max="3841" width="16.109375" style="1042" customWidth="1"/>
    <col min="3842" max="3842" width="15.6640625" style="1042" customWidth="1"/>
    <col min="3843" max="3843" width="17.44140625" style="1042" customWidth="1"/>
    <col min="3844" max="3845" width="16.6640625" style="1042" customWidth="1"/>
    <col min="3846" max="3846" width="13.109375" style="1042" customWidth="1"/>
    <col min="3847" max="3847" width="14" style="1042" customWidth="1"/>
    <col min="3848" max="3848" width="17.33203125" style="1042" customWidth="1"/>
    <col min="3849" max="3849" width="16.44140625" style="1042" customWidth="1"/>
    <col min="3850" max="3851" width="15.44140625" style="1042" customWidth="1"/>
    <col min="3852" max="3852" width="25.6640625" style="1042" customWidth="1"/>
    <col min="3853" max="3853" width="31.6640625" style="1042" customWidth="1"/>
    <col min="3854" max="3854" width="34.109375" style="1042" customWidth="1"/>
    <col min="3855" max="3855" width="37.6640625" style="1042" customWidth="1"/>
    <col min="3856" max="3856" width="48.6640625" style="1042" customWidth="1"/>
    <col min="3857" max="3857" width="29.44140625" style="1042" customWidth="1"/>
    <col min="3858" max="4090" width="11.5546875" style="1042"/>
    <col min="4091" max="4091" width="5.44140625" style="1042" customWidth="1"/>
    <col min="4092" max="4092" width="34.44140625" style="1042" customWidth="1"/>
    <col min="4093" max="4093" width="27.6640625" style="1042" customWidth="1"/>
    <col min="4094" max="4094" width="18.109375" style="1042" customWidth="1"/>
    <col min="4095" max="4095" width="24" style="1042" customWidth="1"/>
    <col min="4096" max="4096" width="16" style="1042" customWidth="1"/>
    <col min="4097" max="4097" width="16.109375" style="1042" customWidth="1"/>
    <col min="4098" max="4098" width="15.6640625" style="1042" customWidth="1"/>
    <col min="4099" max="4099" width="17.44140625" style="1042" customWidth="1"/>
    <col min="4100" max="4101" width="16.6640625" style="1042" customWidth="1"/>
    <col min="4102" max="4102" width="13.109375" style="1042" customWidth="1"/>
    <col min="4103" max="4103" width="14" style="1042" customWidth="1"/>
    <col min="4104" max="4104" width="17.33203125" style="1042" customWidth="1"/>
    <col min="4105" max="4105" width="16.44140625" style="1042" customWidth="1"/>
    <col min="4106" max="4107" width="15.44140625" style="1042" customWidth="1"/>
    <col min="4108" max="4108" width="25.6640625" style="1042" customWidth="1"/>
    <col min="4109" max="4109" width="31.6640625" style="1042" customWidth="1"/>
    <col min="4110" max="4110" width="34.109375" style="1042" customWidth="1"/>
    <col min="4111" max="4111" width="37.6640625" style="1042" customWidth="1"/>
    <col min="4112" max="4112" width="48.6640625" style="1042" customWidth="1"/>
    <col min="4113" max="4113" width="29.44140625" style="1042" customWidth="1"/>
    <col min="4114" max="4346" width="11.5546875" style="1042"/>
    <col min="4347" max="4347" width="5.44140625" style="1042" customWidth="1"/>
    <col min="4348" max="4348" width="34.44140625" style="1042" customWidth="1"/>
    <col min="4349" max="4349" width="27.6640625" style="1042" customWidth="1"/>
    <col min="4350" max="4350" width="18.109375" style="1042" customWidth="1"/>
    <col min="4351" max="4351" width="24" style="1042" customWidth="1"/>
    <col min="4352" max="4352" width="16" style="1042" customWidth="1"/>
    <col min="4353" max="4353" width="16.109375" style="1042" customWidth="1"/>
    <col min="4354" max="4354" width="15.6640625" style="1042" customWidth="1"/>
    <col min="4355" max="4355" width="17.44140625" style="1042" customWidth="1"/>
    <col min="4356" max="4357" width="16.6640625" style="1042" customWidth="1"/>
    <col min="4358" max="4358" width="13.109375" style="1042" customWidth="1"/>
    <col min="4359" max="4359" width="14" style="1042" customWidth="1"/>
    <col min="4360" max="4360" width="17.33203125" style="1042" customWidth="1"/>
    <col min="4361" max="4361" width="16.44140625" style="1042" customWidth="1"/>
    <col min="4362" max="4363" width="15.44140625" style="1042" customWidth="1"/>
    <col min="4364" max="4364" width="25.6640625" style="1042" customWidth="1"/>
    <col min="4365" max="4365" width="31.6640625" style="1042" customWidth="1"/>
    <col min="4366" max="4366" width="34.109375" style="1042" customWidth="1"/>
    <col min="4367" max="4367" width="37.6640625" style="1042" customWidth="1"/>
    <col min="4368" max="4368" width="48.6640625" style="1042" customWidth="1"/>
    <col min="4369" max="4369" width="29.44140625" style="1042" customWidth="1"/>
    <col min="4370" max="4602" width="11.5546875" style="1042"/>
    <col min="4603" max="4603" width="5.44140625" style="1042" customWidth="1"/>
    <col min="4604" max="4604" width="34.44140625" style="1042" customWidth="1"/>
    <col min="4605" max="4605" width="27.6640625" style="1042" customWidth="1"/>
    <col min="4606" max="4606" width="18.109375" style="1042" customWidth="1"/>
    <col min="4607" max="4607" width="24" style="1042" customWidth="1"/>
    <col min="4608" max="4608" width="16" style="1042" customWidth="1"/>
    <col min="4609" max="4609" width="16.109375" style="1042" customWidth="1"/>
    <col min="4610" max="4610" width="15.6640625" style="1042" customWidth="1"/>
    <col min="4611" max="4611" width="17.44140625" style="1042" customWidth="1"/>
    <col min="4612" max="4613" width="16.6640625" style="1042" customWidth="1"/>
    <col min="4614" max="4614" width="13.109375" style="1042" customWidth="1"/>
    <col min="4615" max="4615" width="14" style="1042" customWidth="1"/>
    <col min="4616" max="4616" width="17.33203125" style="1042" customWidth="1"/>
    <col min="4617" max="4617" width="16.44140625" style="1042" customWidth="1"/>
    <col min="4618" max="4619" width="15.44140625" style="1042" customWidth="1"/>
    <col min="4620" max="4620" width="25.6640625" style="1042" customWidth="1"/>
    <col min="4621" max="4621" width="31.6640625" style="1042" customWidth="1"/>
    <col min="4622" max="4622" width="34.109375" style="1042" customWidth="1"/>
    <col min="4623" max="4623" width="37.6640625" style="1042" customWidth="1"/>
    <col min="4624" max="4624" width="48.6640625" style="1042" customWidth="1"/>
    <col min="4625" max="4625" width="29.44140625" style="1042" customWidth="1"/>
    <col min="4626" max="4858" width="11.5546875" style="1042"/>
    <col min="4859" max="4859" width="5.44140625" style="1042" customWidth="1"/>
    <col min="4860" max="4860" width="34.44140625" style="1042" customWidth="1"/>
    <col min="4861" max="4861" width="27.6640625" style="1042" customWidth="1"/>
    <col min="4862" max="4862" width="18.109375" style="1042" customWidth="1"/>
    <col min="4863" max="4863" width="24" style="1042" customWidth="1"/>
    <col min="4864" max="4864" width="16" style="1042" customWidth="1"/>
    <col min="4865" max="4865" width="16.109375" style="1042" customWidth="1"/>
    <col min="4866" max="4866" width="15.6640625" style="1042" customWidth="1"/>
    <col min="4867" max="4867" width="17.44140625" style="1042" customWidth="1"/>
    <col min="4868" max="4869" width="16.6640625" style="1042" customWidth="1"/>
    <col min="4870" max="4870" width="13.109375" style="1042" customWidth="1"/>
    <col min="4871" max="4871" width="14" style="1042" customWidth="1"/>
    <col min="4872" max="4872" width="17.33203125" style="1042" customWidth="1"/>
    <col min="4873" max="4873" width="16.44140625" style="1042" customWidth="1"/>
    <col min="4874" max="4875" width="15.44140625" style="1042" customWidth="1"/>
    <col min="4876" max="4876" width="25.6640625" style="1042" customWidth="1"/>
    <col min="4877" max="4877" width="31.6640625" style="1042" customWidth="1"/>
    <col min="4878" max="4878" width="34.109375" style="1042" customWidth="1"/>
    <col min="4879" max="4879" width="37.6640625" style="1042" customWidth="1"/>
    <col min="4880" max="4880" width="48.6640625" style="1042" customWidth="1"/>
    <col min="4881" max="4881" width="29.44140625" style="1042" customWidth="1"/>
    <col min="4882" max="5114" width="11.5546875" style="1042"/>
    <col min="5115" max="5115" width="5.44140625" style="1042" customWidth="1"/>
    <col min="5116" max="5116" width="34.44140625" style="1042" customWidth="1"/>
    <col min="5117" max="5117" width="27.6640625" style="1042" customWidth="1"/>
    <col min="5118" max="5118" width="18.109375" style="1042" customWidth="1"/>
    <col min="5119" max="5119" width="24" style="1042" customWidth="1"/>
    <col min="5120" max="5120" width="16" style="1042" customWidth="1"/>
    <col min="5121" max="5121" width="16.109375" style="1042" customWidth="1"/>
    <col min="5122" max="5122" width="15.6640625" style="1042" customWidth="1"/>
    <col min="5123" max="5123" width="17.44140625" style="1042" customWidth="1"/>
    <col min="5124" max="5125" width="16.6640625" style="1042" customWidth="1"/>
    <col min="5126" max="5126" width="13.109375" style="1042" customWidth="1"/>
    <col min="5127" max="5127" width="14" style="1042" customWidth="1"/>
    <col min="5128" max="5128" width="17.33203125" style="1042" customWidth="1"/>
    <col min="5129" max="5129" width="16.44140625" style="1042" customWidth="1"/>
    <col min="5130" max="5131" width="15.44140625" style="1042" customWidth="1"/>
    <col min="5132" max="5132" width="25.6640625" style="1042" customWidth="1"/>
    <col min="5133" max="5133" width="31.6640625" style="1042" customWidth="1"/>
    <col min="5134" max="5134" width="34.109375" style="1042" customWidth="1"/>
    <col min="5135" max="5135" width="37.6640625" style="1042" customWidth="1"/>
    <col min="5136" max="5136" width="48.6640625" style="1042" customWidth="1"/>
    <col min="5137" max="5137" width="29.44140625" style="1042" customWidth="1"/>
    <col min="5138" max="5370" width="11.5546875" style="1042"/>
    <col min="5371" max="5371" width="5.44140625" style="1042" customWidth="1"/>
    <col min="5372" max="5372" width="34.44140625" style="1042" customWidth="1"/>
    <col min="5373" max="5373" width="27.6640625" style="1042" customWidth="1"/>
    <col min="5374" max="5374" width="18.109375" style="1042" customWidth="1"/>
    <col min="5375" max="5375" width="24" style="1042" customWidth="1"/>
    <col min="5376" max="5376" width="16" style="1042" customWidth="1"/>
    <col min="5377" max="5377" width="16.109375" style="1042" customWidth="1"/>
    <col min="5378" max="5378" width="15.6640625" style="1042" customWidth="1"/>
    <col min="5379" max="5379" width="17.44140625" style="1042" customWidth="1"/>
    <col min="5380" max="5381" width="16.6640625" style="1042" customWidth="1"/>
    <col min="5382" max="5382" width="13.109375" style="1042" customWidth="1"/>
    <col min="5383" max="5383" width="14" style="1042" customWidth="1"/>
    <col min="5384" max="5384" width="17.33203125" style="1042" customWidth="1"/>
    <col min="5385" max="5385" width="16.44140625" style="1042" customWidth="1"/>
    <col min="5386" max="5387" width="15.44140625" style="1042" customWidth="1"/>
    <col min="5388" max="5388" width="25.6640625" style="1042" customWidth="1"/>
    <col min="5389" max="5389" width="31.6640625" style="1042" customWidth="1"/>
    <col min="5390" max="5390" width="34.109375" style="1042" customWidth="1"/>
    <col min="5391" max="5391" width="37.6640625" style="1042" customWidth="1"/>
    <col min="5392" max="5392" width="48.6640625" style="1042" customWidth="1"/>
    <col min="5393" max="5393" width="29.44140625" style="1042" customWidth="1"/>
    <col min="5394" max="5626" width="11.5546875" style="1042"/>
    <col min="5627" max="5627" width="5.44140625" style="1042" customWidth="1"/>
    <col min="5628" max="5628" width="34.44140625" style="1042" customWidth="1"/>
    <col min="5629" max="5629" width="27.6640625" style="1042" customWidth="1"/>
    <col min="5630" max="5630" width="18.109375" style="1042" customWidth="1"/>
    <col min="5631" max="5631" width="24" style="1042" customWidth="1"/>
    <col min="5632" max="5632" width="16" style="1042" customWidth="1"/>
    <col min="5633" max="5633" width="16.109375" style="1042" customWidth="1"/>
    <col min="5634" max="5634" width="15.6640625" style="1042" customWidth="1"/>
    <col min="5635" max="5635" width="17.44140625" style="1042" customWidth="1"/>
    <col min="5636" max="5637" width="16.6640625" style="1042" customWidth="1"/>
    <col min="5638" max="5638" width="13.109375" style="1042" customWidth="1"/>
    <col min="5639" max="5639" width="14" style="1042" customWidth="1"/>
    <col min="5640" max="5640" width="17.33203125" style="1042" customWidth="1"/>
    <col min="5641" max="5641" width="16.44140625" style="1042" customWidth="1"/>
    <col min="5642" max="5643" width="15.44140625" style="1042" customWidth="1"/>
    <col min="5644" max="5644" width="25.6640625" style="1042" customWidth="1"/>
    <col min="5645" max="5645" width="31.6640625" style="1042" customWidth="1"/>
    <col min="5646" max="5646" width="34.109375" style="1042" customWidth="1"/>
    <col min="5647" max="5647" width="37.6640625" style="1042" customWidth="1"/>
    <col min="5648" max="5648" width="48.6640625" style="1042" customWidth="1"/>
    <col min="5649" max="5649" width="29.44140625" style="1042" customWidth="1"/>
    <col min="5650" max="5882" width="11.5546875" style="1042"/>
    <col min="5883" max="5883" width="5.44140625" style="1042" customWidth="1"/>
    <col min="5884" max="5884" width="34.44140625" style="1042" customWidth="1"/>
    <col min="5885" max="5885" width="27.6640625" style="1042" customWidth="1"/>
    <col min="5886" max="5886" width="18.109375" style="1042" customWidth="1"/>
    <col min="5887" max="5887" width="24" style="1042" customWidth="1"/>
    <col min="5888" max="5888" width="16" style="1042" customWidth="1"/>
    <col min="5889" max="5889" width="16.109375" style="1042" customWidth="1"/>
    <col min="5890" max="5890" width="15.6640625" style="1042" customWidth="1"/>
    <col min="5891" max="5891" width="17.44140625" style="1042" customWidth="1"/>
    <col min="5892" max="5893" width="16.6640625" style="1042" customWidth="1"/>
    <col min="5894" max="5894" width="13.109375" style="1042" customWidth="1"/>
    <col min="5895" max="5895" width="14" style="1042" customWidth="1"/>
    <col min="5896" max="5896" width="17.33203125" style="1042" customWidth="1"/>
    <col min="5897" max="5897" width="16.44140625" style="1042" customWidth="1"/>
    <col min="5898" max="5899" width="15.44140625" style="1042" customWidth="1"/>
    <col min="5900" max="5900" width="25.6640625" style="1042" customWidth="1"/>
    <col min="5901" max="5901" width="31.6640625" style="1042" customWidth="1"/>
    <col min="5902" max="5902" width="34.109375" style="1042" customWidth="1"/>
    <col min="5903" max="5903" width="37.6640625" style="1042" customWidth="1"/>
    <col min="5904" max="5904" width="48.6640625" style="1042" customWidth="1"/>
    <col min="5905" max="5905" width="29.44140625" style="1042" customWidth="1"/>
    <col min="5906" max="6138" width="11.5546875" style="1042"/>
    <col min="6139" max="6139" width="5.44140625" style="1042" customWidth="1"/>
    <col min="6140" max="6140" width="34.44140625" style="1042" customWidth="1"/>
    <col min="6141" max="6141" width="27.6640625" style="1042" customWidth="1"/>
    <col min="6142" max="6142" width="18.109375" style="1042" customWidth="1"/>
    <col min="6143" max="6143" width="24" style="1042" customWidth="1"/>
    <col min="6144" max="6144" width="16" style="1042" customWidth="1"/>
    <col min="6145" max="6145" width="16.109375" style="1042" customWidth="1"/>
    <col min="6146" max="6146" width="15.6640625" style="1042" customWidth="1"/>
    <col min="6147" max="6147" width="17.44140625" style="1042" customWidth="1"/>
    <col min="6148" max="6149" width="16.6640625" style="1042" customWidth="1"/>
    <col min="6150" max="6150" width="13.109375" style="1042" customWidth="1"/>
    <col min="6151" max="6151" width="14" style="1042" customWidth="1"/>
    <col min="6152" max="6152" width="17.33203125" style="1042" customWidth="1"/>
    <col min="6153" max="6153" width="16.44140625" style="1042" customWidth="1"/>
    <col min="6154" max="6155" width="15.44140625" style="1042" customWidth="1"/>
    <col min="6156" max="6156" width="25.6640625" style="1042" customWidth="1"/>
    <col min="6157" max="6157" width="31.6640625" style="1042" customWidth="1"/>
    <col min="6158" max="6158" width="34.109375" style="1042" customWidth="1"/>
    <col min="6159" max="6159" width="37.6640625" style="1042" customWidth="1"/>
    <col min="6160" max="6160" width="48.6640625" style="1042" customWidth="1"/>
    <col min="6161" max="6161" width="29.44140625" style="1042" customWidth="1"/>
    <col min="6162" max="6394" width="11.5546875" style="1042"/>
    <col min="6395" max="6395" width="5.44140625" style="1042" customWidth="1"/>
    <col min="6396" max="6396" width="34.44140625" style="1042" customWidth="1"/>
    <col min="6397" max="6397" width="27.6640625" style="1042" customWidth="1"/>
    <col min="6398" max="6398" width="18.109375" style="1042" customWidth="1"/>
    <col min="6399" max="6399" width="24" style="1042" customWidth="1"/>
    <col min="6400" max="6400" width="16" style="1042" customWidth="1"/>
    <col min="6401" max="6401" width="16.109375" style="1042" customWidth="1"/>
    <col min="6402" max="6402" width="15.6640625" style="1042" customWidth="1"/>
    <col min="6403" max="6403" width="17.44140625" style="1042" customWidth="1"/>
    <col min="6404" max="6405" width="16.6640625" style="1042" customWidth="1"/>
    <col min="6406" max="6406" width="13.109375" style="1042" customWidth="1"/>
    <col min="6407" max="6407" width="14" style="1042" customWidth="1"/>
    <col min="6408" max="6408" width="17.33203125" style="1042" customWidth="1"/>
    <col min="6409" max="6409" width="16.44140625" style="1042" customWidth="1"/>
    <col min="6410" max="6411" width="15.44140625" style="1042" customWidth="1"/>
    <col min="6412" max="6412" width="25.6640625" style="1042" customWidth="1"/>
    <col min="6413" max="6413" width="31.6640625" style="1042" customWidth="1"/>
    <col min="6414" max="6414" width="34.109375" style="1042" customWidth="1"/>
    <col min="6415" max="6415" width="37.6640625" style="1042" customWidth="1"/>
    <col min="6416" max="6416" width="48.6640625" style="1042" customWidth="1"/>
    <col min="6417" max="6417" width="29.44140625" style="1042" customWidth="1"/>
    <col min="6418" max="6650" width="11.5546875" style="1042"/>
    <col min="6651" max="6651" width="5.44140625" style="1042" customWidth="1"/>
    <col min="6652" max="6652" width="34.44140625" style="1042" customWidth="1"/>
    <col min="6653" max="6653" width="27.6640625" style="1042" customWidth="1"/>
    <col min="6654" max="6654" width="18.109375" style="1042" customWidth="1"/>
    <col min="6655" max="6655" width="24" style="1042" customWidth="1"/>
    <col min="6656" max="6656" width="16" style="1042" customWidth="1"/>
    <col min="6657" max="6657" width="16.109375" style="1042" customWidth="1"/>
    <col min="6658" max="6658" width="15.6640625" style="1042" customWidth="1"/>
    <col min="6659" max="6659" width="17.44140625" style="1042" customWidth="1"/>
    <col min="6660" max="6661" width="16.6640625" style="1042" customWidth="1"/>
    <col min="6662" max="6662" width="13.109375" style="1042" customWidth="1"/>
    <col min="6663" max="6663" width="14" style="1042" customWidth="1"/>
    <col min="6664" max="6664" width="17.33203125" style="1042" customWidth="1"/>
    <col min="6665" max="6665" width="16.44140625" style="1042" customWidth="1"/>
    <col min="6666" max="6667" width="15.44140625" style="1042" customWidth="1"/>
    <col min="6668" max="6668" width="25.6640625" style="1042" customWidth="1"/>
    <col min="6669" max="6669" width="31.6640625" style="1042" customWidth="1"/>
    <col min="6670" max="6670" width="34.109375" style="1042" customWidth="1"/>
    <col min="6671" max="6671" width="37.6640625" style="1042" customWidth="1"/>
    <col min="6672" max="6672" width="48.6640625" style="1042" customWidth="1"/>
    <col min="6673" max="6673" width="29.44140625" style="1042" customWidth="1"/>
    <col min="6674" max="6906" width="11.5546875" style="1042"/>
    <col min="6907" max="6907" width="5.44140625" style="1042" customWidth="1"/>
    <col min="6908" max="6908" width="34.44140625" style="1042" customWidth="1"/>
    <col min="6909" max="6909" width="27.6640625" style="1042" customWidth="1"/>
    <col min="6910" max="6910" width="18.109375" style="1042" customWidth="1"/>
    <col min="6911" max="6911" width="24" style="1042" customWidth="1"/>
    <col min="6912" max="6912" width="16" style="1042" customWidth="1"/>
    <col min="6913" max="6913" width="16.109375" style="1042" customWidth="1"/>
    <col min="6914" max="6914" width="15.6640625" style="1042" customWidth="1"/>
    <col min="6915" max="6915" width="17.44140625" style="1042" customWidth="1"/>
    <col min="6916" max="6917" width="16.6640625" style="1042" customWidth="1"/>
    <col min="6918" max="6918" width="13.109375" style="1042" customWidth="1"/>
    <col min="6919" max="6919" width="14" style="1042" customWidth="1"/>
    <col min="6920" max="6920" width="17.33203125" style="1042" customWidth="1"/>
    <col min="6921" max="6921" width="16.44140625" style="1042" customWidth="1"/>
    <col min="6922" max="6923" width="15.44140625" style="1042" customWidth="1"/>
    <col min="6924" max="6924" width="25.6640625" style="1042" customWidth="1"/>
    <col min="6925" max="6925" width="31.6640625" style="1042" customWidth="1"/>
    <col min="6926" max="6926" width="34.109375" style="1042" customWidth="1"/>
    <col min="6927" max="6927" width="37.6640625" style="1042" customWidth="1"/>
    <col min="6928" max="6928" width="48.6640625" style="1042" customWidth="1"/>
    <col min="6929" max="6929" width="29.44140625" style="1042" customWidth="1"/>
    <col min="6930" max="7162" width="11.5546875" style="1042"/>
    <col min="7163" max="7163" width="5.44140625" style="1042" customWidth="1"/>
    <col min="7164" max="7164" width="34.44140625" style="1042" customWidth="1"/>
    <col min="7165" max="7165" width="27.6640625" style="1042" customWidth="1"/>
    <col min="7166" max="7166" width="18.109375" style="1042" customWidth="1"/>
    <col min="7167" max="7167" width="24" style="1042" customWidth="1"/>
    <col min="7168" max="7168" width="16" style="1042" customWidth="1"/>
    <col min="7169" max="7169" width="16.109375" style="1042" customWidth="1"/>
    <col min="7170" max="7170" width="15.6640625" style="1042" customWidth="1"/>
    <col min="7171" max="7171" width="17.44140625" style="1042" customWidth="1"/>
    <col min="7172" max="7173" width="16.6640625" style="1042" customWidth="1"/>
    <col min="7174" max="7174" width="13.109375" style="1042" customWidth="1"/>
    <col min="7175" max="7175" width="14" style="1042" customWidth="1"/>
    <col min="7176" max="7176" width="17.33203125" style="1042" customWidth="1"/>
    <col min="7177" max="7177" width="16.44140625" style="1042" customWidth="1"/>
    <col min="7178" max="7179" width="15.44140625" style="1042" customWidth="1"/>
    <col min="7180" max="7180" width="25.6640625" style="1042" customWidth="1"/>
    <col min="7181" max="7181" width="31.6640625" style="1042" customWidth="1"/>
    <col min="7182" max="7182" width="34.109375" style="1042" customWidth="1"/>
    <col min="7183" max="7183" width="37.6640625" style="1042" customWidth="1"/>
    <col min="7184" max="7184" width="48.6640625" style="1042" customWidth="1"/>
    <col min="7185" max="7185" width="29.44140625" style="1042" customWidth="1"/>
    <col min="7186" max="7418" width="11.5546875" style="1042"/>
    <col min="7419" max="7419" width="5.44140625" style="1042" customWidth="1"/>
    <col min="7420" max="7420" width="34.44140625" style="1042" customWidth="1"/>
    <col min="7421" max="7421" width="27.6640625" style="1042" customWidth="1"/>
    <col min="7422" max="7422" width="18.109375" style="1042" customWidth="1"/>
    <col min="7423" max="7423" width="24" style="1042" customWidth="1"/>
    <col min="7424" max="7424" width="16" style="1042" customWidth="1"/>
    <col min="7425" max="7425" width="16.109375" style="1042" customWidth="1"/>
    <col min="7426" max="7426" width="15.6640625" style="1042" customWidth="1"/>
    <col min="7427" max="7427" width="17.44140625" style="1042" customWidth="1"/>
    <col min="7428" max="7429" width="16.6640625" style="1042" customWidth="1"/>
    <col min="7430" max="7430" width="13.109375" style="1042" customWidth="1"/>
    <col min="7431" max="7431" width="14" style="1042" customWidth="1"/>
    <col min="7432" max="7432" width="17.33203125" style="1042" customWidth="1"/>
    <col min="7433" max="7433" width="16.44140625" style="1042" customWidth="1"/>
    <col min="7434" max="7435" width="15.44140625" style="1042" customWidth="1"/>
    <col min="7436" max="7436" width="25.6640625" style="1042" customWidth="1"/>
    <col min="7437" max="7437" width="31.6640625" style="1042" customWidth="1"/>
    <col min="7438" max="7438" width="34.109375" style="1042" customWidth="1"/>
    <col min="7439" max="7439" width="37.6640625" style="1042" customWidth="1"/>
    <col min="7440" max="7440" width="48.6640625" style="1042" customWidth="1"/>
    <col min="7441" max="7441" width="29.44140625" style="1042" customWidth="1"/>
    <col min="7442" max="7674" width="11.5546875" style="1042"/>
    <col min="7675" max="7675" width="5.44140625" style="1042" customWidth="1"/>
    <col min="7676" max="7676" width="34.44140625" style="1042" customWidth="1"/>
    <col min="7677" max="7677" width="27.6640625" style="1042" customWidth="1"/>
    <col min="7678" max="7678" width="18.109375" style="1042" customWidth="1"/>
    <col min="7679" max="7679" width="24" style="1042" customWidth="1"/>
    <col min="7680" max="7680" width="16" style="1042" customWidth="1"/>
    <col min="7681" max="7681" width="16.109375" style="1042" customWidth="1"/>
    <col min="7682" max="7682" width="15.6640625" style="1042" customWidth="1"/>
    <col min="7683" max="7683" width="17.44140625" style="1042" customWidth="1"/>
    <col min="7684" max="7685" width="16.6640625" style="1042" customWidth="1"/>
    <col min="7686" max="7686" width="13.109375" style="1042" customWidth="1"/>
    <col min="7687" max="7687" width="14" style="1042" customWidth="1"/>
    <col min="7688" max="7688" width="17.33203125" style="1042" customWidth="1"/>
    <col min="7689" max="7689" width="16.44140625" style="1042" customWidth="1"/>
    <col min="7690" max="7691" width="15.44140625" style="1042" customWidth="1"/>
    <col min="7692" max="7692" width="25.6640625" style="1042" customWidth="1"/>
    <col min="7693" max="7693" width="31.6640625" style="1042" customWidth="1"/>
    <col min="7694" max="7694" width="34.109375" style="1042" customWidth="1"/>
    <col min="7695" max="7695" width="37.6640625" style="1042" customWidth="1"/>
    <col min="7696" max="7696" width="48.6640625" style="1042" customWidth="1"/>
    <col min="7697" max="7697" width="29.44140625" style="1042" customWidth="1"/>
    <col min="7698" max="7930" width="11.5546875" style="1042"/>
    <col min="7931" max="7931" width="5.44140625" style="1042" customWidth="1"/>
    <col min="7932" max="7932" width="34.44140625" style="1042" customWidth="1"/>
    <col min="7933" max="7933" width="27.6640625" style="1042" customWidth="1"/>
    <col min="7934" max="7934" width="18.109375" style="1042" customWidth="1"/>
    <col min="7935" max="7935" width="24" style="1042" customWidth="1"/>
    <col min="7936" max="7936" width="16" style="1042" customWidth="1"/>
    <col min="7937" max="7937" width="16.109375" style="1042" customWidth="1"/>
    <col min="7938" max="7938" width="15.6640625" style="1042" customWidth="1"/>
    <col min="7939" max="7939" width="17.44140625" style="1042" customWidth="1"/>
    <col min="7940" max="7941" width="16.6640625" style="1042" customWidth="1"/>
    <col min="7942" max="7942" width="13.109375" style="1042" customWidth="1"/>
    <col min="7943" max="7943" width="14" style="1042" customWidth="1"/>
    <col min="7944" max="7944" width="17.33203125" style="1042" customWidth="1"/>
    <col min="7945" max="7945" width="16.44140625" style="1042" customWidth="1"/>
    <col min="7946" max="7947" width="15.44140625" style="1042" customWidth="1"/>
    <col min="7948" max="7948" width="25.6640625" style="1042" customWidth="1"/>
    <col min="7949" max="7949" width="31.6640625" style="1042" customWidth="1"/>
    <col min="7950" max="7950" width="34.109375" style="1042" customWidth="1"/>
    <col min="7951" max="7951" width="37.6640625" style="1042" customWidth="1"/>
    <col min="7952" max="7952" width="48.6640625" style="1042" customWidth="1"/>
    <col min="7953" max="7953" width="29.44140625" style="1042" customWidth="1"/>
    <col min="7954" max="8186" width="11.5546875" style="1042"/>
    <col min="8187" max="8187" width="5.44140625" style="1042" customWidth="1"/>
    <col min="8188" max="8188" width="34.44140625" style="1042" customWidth="1"/>
    <col min="8189" max="8189" width="27.6640625" style="1042" customWidth="1"/>
    <col min="8190" max="8190" width="18.109375" style="1042" customWidth="1"/>
    <col min="8191" max="8191" width="24" style="1042" customWidth="1"/>
    <col min="8192" max="8192" width="16" style="1042" customWidth="1"/>
    <col min="8193" max="8193" width="16.109375" style="1042" customWidth="1"/>
    <col min="8194" max="8194" width="15.6640625" style="1042" customWidth="1"/>
    <col min="8195" max="8195" width="17.44140625" style="1042" customWidth="1"/>
    <col min="8196" max="8197" width="16.6640625" style="1042" customWidth="1"/>
    <col min="8198" max="8198" width="13.109375" style="1042" customWidth="1"/>
    <col min="8199" max="8199" width="14" style="1042" customWidth="1"/>
    <col min="8200" max="8200" width="17.33203125" style="1042" customWidth="1"/>
    <col min="8201" max="8201" width="16.44140625" style="1042" customWidth="1"/>
    <col min="8202" max="8203" width="15.44140625" style="1042" customWidth="1"/>
    <col min="8204" max="8204" width="25.6640625" style="1042" customWidth="1"/>
    <col min="8205" max="8205" width="31.6640625" style="1042" customWidth="1"/>
    <col min="8206" max="8206" width="34.109375" style="1042" customWidth="1"/>
    <col min="8207" max="8207" width="37.6640625" style="1042" customWidth="1"/>
    <col min="8208" max="8208" width="48.6640625" style="1042" customWidth="1"/>
    <col min="8209" max="8209" width="29.44140625" style="1042" customWidth="1"/>
    <col min="8210" max="8442" width="11.5546875" style="1042"/>
    <col min="8443" max="8443" width="5.44140625" style="1042" customWidth="1"/>
    <col min="8444" max="8444" width="34.44140625" style="1042" customWidth="1"/>
    <col min="8445" max="8445" width="27.6640625" style="1042" customWidth="1"/>
    <col min="8446" max="8446" width="18.109375" style="1042" customWidth="1"/>
    <col min="8447" max="8447" width="24" style="1042" customWidth="1"/>
    <col min="8448" max="8448" width="16" style="1042" customWidth="1"/>
    <col min="8449" max="8449" width="16.109375" style="1042" customWidth="1"/>
    <col min="8450" max="8450" width="15.6640625" style="1042" customWidth="1"/>
    <col min="8451" max="8451" width="17.44140625" style="1042" customWidth="1"/>
    <col min="8452" max="8453" width="16.6640625" style="1042" customWidth="1"/>
    <col min="8454" max="8454" width="13.109375" style="1042" customWidth="1"/>
    <col min="8455" max="8455" width="14" style="1042" customWidth="1"/>
    <col min="8456" max="8456" width="17.33203125" style="1042" customWidth="1"/>
    <col min="8457" max="8457" width="16.44140625" style="1042" customWidth="1"/>
    <col min="8458" max="8459" width="15.44140625" style="1042" customWidth="1"/>
    <col min="8460" max="8460" width="25.6640625" style="1042" customWidth="1"/>
    <col min="8461" max="8461" width="31.6640625" style="1042" customWidth="1"/>
    <col min="8462" max="8462" width="34.109375" style="1042" customWidth="1"/>
    <col min="8463" max="8463" width="37.6640625" style="1042" customWidth="1"/>
    <col min="8464" max="8464" width="48.6640625" style="1042" customWidth="1"/>
    <col min="8465" max="8465" width="29.44140625" style="1042" customWidth="1"/>
    <col min="8466" max="8698" width="11.5546875" style="1042"/>
    <col min="8699" max="8699" width="5.44140625" style="1042" customWidth="1"/>
    <col min="8700" max="8700" width="34.44140625" style="1042" customWidth="1"/>
    <col min="8701" max="8701" width="27.6640625" style="1042" customWidth="1"/>
    <col min="8702" max="8702" width="18.109375" style="1042" customWidth="1"/>
    <col min="8703" max="8703" width="24" style="1042" customWidth="1"/>
    <col min="8704" max="8704" width="16" style="1042" customWidth="1"/>
    <col min="8705" max="8705" width="16.109375" style="1042" customWidth="1"/>
    <col min="8706" max="8706" width="15.6640625" style="1042" customWidth="1"/>
    <col min="8707" max="8707" width="17.44140625" style="1042" customWidth="1"/>
    <col min="8708" max="8709" width="16.6640625" style="1042" customWidth="1"/>
    <col min="8710" max="8710" width="13.109375" style="1042" customWidth="1"/>
    <col min="8711" max="8711" width="14" style="1042" customWidth="1"/>
    <col min="8712" max="8712" width="17.33203125" style="1042" customWidth="1"/>
    <col min="8713" max="8713" width="16.44140625" style="1042" customWidth="1"/>
    <col min="8714" max="8715" width="15.44140625" style="1042" customWidth="1"/>
    <col min="8716" max="8716" width="25.6640625" style="1042" customWidth="1"/>
    <col min="8717" max="8717" width="31.6640625" style="1042" customWidth="1"/>
    <col min="8718" max="8718" width="34.109375" style="1042" customWidth="1"/>
    <col min="8719" max="8719" width="37.6640625" style="1042" customWidth="1"/>
    <col min="8720" max="8720" width="48.6640625" style="1042" customWidth="1"/>
    <col min="8721" max="8721" width="29.44140625" style="1042" customWidth="1"/>
    <col min="8722" max="8954" width="11.5546875" style="1042"/>
    <col min="8955" max="8955" width="5.44140625" style="1042" customWidth="1"/>
    <col min="8956" max="8956" width="34.44140625" style="1042" customWidth="1"/>
    <col min="8957" max="8957" width="27.6640625" style="1042" customWidth="1"/>
    <col min="8958" max="8958" width="18.109375" style="1042" customWidth="1"/>
    <col min="8959" max="8959" width="24" style="1042" customWidth="1"/>
    <col min="8960" max="8960" width="16" style="1042" customWidth="1"/>
    <col min="8961" max="8961" width="16.109375" style="1042" customWidth="1"/>
    <col min="8962" max="8962" width="15.6640625" style="1042" customWidth="1"/>
    <col min="8963" max="8963" width="17.44140625" style="1042" customWidth="1"/>
    <col min="8964" max="8965" width="16.6640625" style="1042" customWidth="1"/>
    <col min="8966" max="8966" width="13.109375" style="1042" customWidth="1"/>
    <col min="8967" max="8967" width="14" style="1042" customWidth="1"/>
    <col min="8968" max="8968" width="17.33203125" style="1042" customWidth="1"/>
    <col min="8969" max="8969" width="16.44140625" style="1042" customWidth="1"/>
    <col min="8970" max="8971" width="15.44140625" style="1042" customWidth="1"/>
    <col min="8972" max="8972" width="25.6640625" style="1042" customWidth="1"/>
    <col min="8973" max="8973" width="31.6640625" style="1042" customWidth="1"/>
    <col min="8974" max="8974" width="34.109375" style="1042" customWidth="1"/>
    <col min="8975" max="8975" width="37.6640625" style="1042" customWidth="1"/>
    <col min="8976" max="8976" width="48.6640625" style="1042" customWidth="1"/>
    <col min="8977" max="8977" width="29.44140625" style="1042" customWidth="1"/>
    <col min="8978" max="9210" width="11.5546875" style="1042"/>
    <col min="9211" max="9211" width="5.44140625" style="1042" customWidth="1"/>
    <col min="9212" max="9212" width="34.44140625" style="1042" customWidth="1"/>
    <col min="9213" max="9213" width="27.6640625" style="1042" customWidth="1"/>
    <col min="9214" max="9214" width="18.109375" style="1042" customWidth="1"/>
    <col min="9215" max="9215" width="24" style="1042" customWidth="1"/>
    <col min="9216" max="9216" width="16" style="1042" customWidth="1"/>
    <col min="9217" max="9217" width="16.109375" style="1042" customWidth="1"/>
    <col min="9218" max="9218" width="15.6640625" style="1042" customWidth="1"/>
    <col min="9219" max="9219" width="17.44140625" style="1042" customWidth="1"/>
    <col min="9220" max="9221" width="16.6640625" style="1042" customWidth="1"/>
    <col min="9222" max="9222" width="13.109375" style="1042" customWidth="1"/>
    <col min="9223" max="9223" width="14" style="1042" customWidth="1"/>
    <col min="9224" max="9224" width="17.33203125" style="1042" customWidth="1"/>
    <col min="9225" max="9225" width="16.44140625" style="1042" customWidth="1"/>
    <col min="9226" max="9227" width="15.44140625" style="1042" customWidth="1"/>
    <col min="9228" max="9228" width="25.6640625" style="1042" customWidth="1"/>
    <col min="9229" max="9229" width="31.6640625" style="1042" customWidth="1"/>
    <col min="9230" max="9230" width="34.109375" style="1042" customWidth="1"/>
    <col min="9231" max="9231" width="37.6640625" style="1042" customWidth="1"/>
    <col min="9232" max="9232" width="48.6640625" style="1042" customWidth="1"/>
    <col min="9233" max="9233" width="29.44140625" style="1042" customWidth="1"/>
    <col min="9234" max="9466" width="11.5546875" style="1042"/>
    <col min="9467" max="9467" width="5.44140625" style="1042" customWidth="1"/>
    <col min="9468" max="9468" width="34.44140625" style="1042" customWidth="1"/>
    <col min="9469" max="9469" width="27.6640625" style="1042" customWidth="1"/>
    <col min="9470" max="9470" width="18.109375" style="1042" customWidth="1"/>
    <col min="9471" max="9471" width="24" style="1042" customWidth="1"/>
    <col min="9472" max="9472" width="16" style="1042" customWidth="1"/>
    <col min="9473" max="9473" width="16.109375" style="1042" customWidth="1"/>
    <col min="9474" max="9474" width="15.6640625" style="1042" customWidth="1"/>
    <col min="9475" max="9475" width="17.44140625" style="1042" customWidth="1"/>
    <col min="9476" max="9477" width="16.6640625" style="1042" customWidth="1"/>
    <col min="9478" max="9478" width="13.109375" style="1042" customWidth="1"/>
    <col min="9479" max="9479" width="14" style="1042" customWidth="1"/>
    <col min="9480" max="9480" width="17.33203125" style="1042" customWidth="1"/>
    <col min="9481" max="9481" width="16.44140625" style="1042" customWidth="1"/>
    <col min="9482" max="9483" width="15.44140625" style="1042" customWidth="1"/>
    <col min="9484" max="9484" width="25.6640625" style="1042" customWidth="1"/>
    <col min="9485" max="9485" width="31.6640625" style="1042" customWidth="1"/>
    <col min="9486" max="9486" width="34.109375" style="1042" customWidth="1"/>
    <col min="9487" max="9487" width="37.6640625" style="1042" customWidth="1"/>
    <col min="9488" max="9488" width="48.6640625" style="1042" customWidth="1"/>
    <col min="9489" max="9489" width="29.44140625" style="1042" customWidth="1"/>
    <col min="9490" max="9722" width="11.5546875" style="1042"/>
    <col min="9723" max="9723" width="5.44140625" style="1042" customWidth="1"/>
    <col min="9724" max="9724" width="34.44140625" style="1042" customWidth="1"/>
    <col min="9725" max="9725" width="27.6640625" style="1042" customWidth="1"/>
    <col min="9726" max="9726" width="18.109375" style="1042" customWidth="1"/>
    <col min="9727" max="9727" width="24" style="1042" customWidth="1"/>
    <col min="9728" max="9728" width="16" style="1042" customWidth="1"/>
    <col min="9729" max="9729" width="16.109375" style="1042" customWidth="1"/>
    <col min="9730" max="9730" width="15.6640625" style="1042" customWidth="1"/>
    <col min="9731" max="9731" width="17.44140625" style="1042" customWidth="1"/>
    <col min="9732" max="9733" width="16.6640625" style="1042" customWidth="1"/>
    <col min="9734" max="9734" width="13.109375" style="1042" customWidth="1"/>
    <col min="9735" max="9735" width="14" style="1042" customWidth="1"/>
    <col min="9736" max="9736" width="17.33203125" style="1042" customWidth="1"/>
    <col min="9737" max="9737" width="16.44140625" style="1042" customWidth="1"/>
    <col min="9738" max="9739" width="15.44140625" style="1042" customWidth="1"/>
    <col min="9740" max="9740" width="25.6640625" style="1042" customWidth="1"/>
    <col min="9741" max="9741" width="31.6640625" style="1042" customWidth="1"/>
    <col min="9742" max="9742" width="34.109375" style="1042" customWidth="1"/>
    <col min="9743" max="9743" width="37.6640625" style="1042" customWidth="1"/>
    <col min="9744" max="9744" width="48.6640625" style="1042" customWidth="1"/>
    <col min="9745" max="9745" width="29.44140625" style="1042" customWidth="1"/>
    <col min="9746" max="9978" width="11.5546875" style="1042"/>
    <col min="9979" max="9979" width="5.44140625" style="1042" customWidth="1"/>
    <col min="9980" max="9980" width="34.44140625" style="1042" customWidth="1"/>
    <col min="9981" max="9981" width="27.6640625" style="1042" customWidth="1"/>
    <col min="9982" max="9982" width="18.109375" style="1042" customWidth="1"/>
    <col min="9983" max="9983" width="24" style="1042" customWidth="1"/>
    <col min="9984" max="9984" width="16" style="1042" customWidth="1"/>
    <col min="9985" max="9985" width="16.109375" style="1042" customWidth="1"/>
    <col min="9986" max="9986" width="15.6640625" style="1042" customWidth="1"/>
    <col min="9987" max="9987" width="17.44140625" style="1042" customWidth="1"/>
    <col min="9988" max="9989" width="16.6640625" style="1042" customWidth="1"/>
    <col min="9990" max="9990" width="13.109375" style="1042" customWidth="1"/>
    <col min="9991" max="9991" width="14" style="1042" customWidth="1"/>
    <col min="9992" max="9992" width="17.33203125" style="1042" customWidth="1"/>
    <col min="9993" max="9993" width="16.44140625" style="1042" customWidth="1"/>
    <col min="9994" max="9995" width="15.44140625" style="1042" customWidth="1"/>
    <col min="9996" max="9996" width="25.6640625" style="1042" customWidth="1"/>
    <col min="9997" max="9997" width="31.6640625" style="1042" customWidth="1"/>
    <col min="9998" max="9998" width="34.109375" style="1042" customWidth="1"/>
    <col min="9999" max="9999" width="37.6640625" style="1042" customWidth="1"/>
    <col min="10000" max="10000" width="48.6640625" style="1042" customWidth="1"/>
    <col min="10001" max="10001" width="29.44140625" style="1042" customWidth="1"/>
    <col min="10002" max="10234" width="11.5546875" style="1042"/>
    <col min="10235" max="10235" width="5.44140625" style="1042" customWidth="1"/>
    <col min="10236" max="10236" width="34.44140625" style="1042" customWidth="1"/>
    <col min="10237" max="10237" width="27.6640625" style="1042" customWidth="1"/>
    <col min="10238" max="10238" width="18.109375" style="1042" customWidth="1"/>
    <col min="10239" max="10239" width="24" style="1042" customWidth="1"/>
    <col min="10240" max="10240" width="16" style="1042" customWidth="1"/>
    <col min="10241" max="10241" width="16.109375" style="1042" customWidth="1"/>
    <col min="10242" max="10242" width="15.6640625" style="1042" customWidth="1"/>
    <col min="10243" max="10243" width="17.44140625" style="1042" customWidth="1"/>
    <col min="10244" max="10245" width="16.6640625" style="1042" customWidth="1"/>
    <col min="10246" max="10246" width="13.109375" style="1042" customWidth="1"/>
    <col min="10247" max="10247" width="14" style="1042" customWidth="1"/>
    <col min="10248" max="10248" width="17.33203125" style="1042" customWidth="1"/>
    <col min="10249" max="10249" width="16.44140625" style="1042" customWidth="1"/>
    <col min="10250" max="10251" width="15.44140625" style="1042" customWidth="1"/>
    <col min="10252" max="10252" width="25.6640625" style="1042" customWidth="1"/>
    <col min="10253" max="10253" width="31.6640625" style="1042" customWidth="1"/>
    <col min="10254" max="10254" width="34.109375" style="1042" customWidth="1"/>
    <col min="10255" max="10255" width="37.6640625" style="1042" customWidth="1"/>
    <col min="10256" max="10256" width="48.6640625" style="1042" customWidth="1"/>
    <col min="10257" max="10257" width="29.44140625" style="1042" customWidth="1"/>
    <col min="10258" max="10490" width="11.5546875" style="1042"/>
    <col min="10491" max="10491" width="5.44140625" style="1042" customWidth="1"/>
    <col min="10492" max="10492" width="34.44140625" style="1042" customWidth="1"/>
    <col min="10493" max="10493" width="27.6640625" style="1042" customWidth="1"/>
    <col min="10494" max="10494" width="18.109375" style="1042" customWidth="1"/>
    <col min="10495" max="10495" width="24" style="1042" customWidth="1"/>
    <col min="10496" max="10496" width="16" style="1042" customWidth="1"/>
    <col min="10497" max="10497" width="16.109375" style="1042" customWidth="1"/>
    <col min="10498" max="10498" width="15.6640625" style="1042" customWidth="1"/>
    <col min="10499" max="10499" width="17.44140625" style="1042" customWidth="1"/>
    <col min="10500" max="10501" width="16.6640625" style="1042" customWidth="1"/>
    <col min="10502" max="10502" width="13.109375" style="1042" customWidth="1"/>
    <col min="10503" max="10503" width="14" style="1042" customWidth="1"/>
    <col min="10504" max="10504" width="17.33203125" style="1042" customWidth="1"/>
    <col min="10505" max="10505" width="16.44140625" style="1042" customWidth="1"/>
    <col min="10506" max="10507" width="15.44140625" style="1042" customWidth="1"/>
    <col min="10508" max="10508" width="25.6640625" style="1042" customWidth="1"/>
    <col min="10509" max="10509" width="31.6640625" style="1042" customWidth="1"/>
    <col min="10510" max="10510" width="34.109375" style="1042" customWidth="1"/>
    <col min="10511" max="10511" width="37.6640625" style="1042" customWidth="1"/>
    <col min="10512" max="10512" width="48.6640625" style="1042" customWidth="1"/>
    <col min="10513" max="10513" width="29.44140625" style="1042" customWidth="1"/>
    <col min="10514" max="10746" width="11.5546875" style="1042"/>
    <col min="10747" max="10747" width="5.44140625" style="1042" customWidth="1"/>
    <col min="10748" max="10748" width="34.44140625" style="1042" customWidth="1"/>
    <col min="10749" max="10749" width="27.6640625" style="1042" customWidth="1"/>
    <col min="10750" max="10750" width="18.109375" style="1042" customWidth="1"/>
    <col min="10751" max="10751" width="24" style="1042" customWidth="1"/>
    <col min="10752" max="10752" width="16" style="1042" customWidth="1"/>
    <col min="10753" max="10753" width="16.109375" style="1042" customWidth="1"/>
    <col min="10754" max="10754" width="15.6640625" style="1042" customWidth="1"/>
    <col min="10755" max="10755" width="17.44140625" style="1042" customWidth="1"/>
    <col min="10756" max="10757" width="16.6640625" style="1042" customWidth="1"/>
    <col min="10758" max="10758" width="13.109375" style="1042" customWidth="1"/>
    <col min="10759" max="10759" width="14" style="1042" customWidth="1"/>
    <col min="10760" max="10760" width="17.33203125" style="1042" customWidth="1"/>
    <col min="10761" max="10761" width="16.44140625" style="1042" customWidth="1"/>
    <col min="10762" max="10763" width="15.44140625" style="1042" customWidth="1"/>
    <col min="10764" max="10764" width="25.6640625" style="1042" customWidth="1"/>
    <col min="10765" max="10765" width="31.6640625" style="1042" customWidth="1"/>
    <col min="10766" max="10766" width="34.109375" style="1042" customWidth="1"/>
    <col min="10767" max="10767" width="37.6640625" style="1042" customWidth="1"/>
    <col min="10768" max="10768" width="48.6640625" style="1042" customWidth="1"/>
    <col min="10769" max="10769" width="29.44140625" style="1042" customWidth="1"/>
    <col min="10770" max="11002" width="11.5546875" style="1042"/>
    <col min="11003" max="11003" width="5.44140625" style="1042" customWidth="1"/>
    <col min="11004" max="11004" width="34.44140625" style="1042" customWidth="1"/>
    <col min="11005" max="11005" width="27.6640625" style="1042" customWidth="1"/>
    <col min="11006" max="11006" width="18.109375" style="1042" customWidth="1"/>
    <col min="11007" max="11007" width="24" style="1042" customWidth="1"/>
    <col min="11008" max="11008" width="16" style="1042" customWidth="1"/>
    <col min="11009" max="11009" width="16.109375" style="1042" customWidth="1"/>
    <col min="11010" max="11010" width="15.6640625" style="1042" customWidth="1"/>
    <col min="11011" max="11011" width="17.44140625" style="1042" customWidth="1"/>
    <col min="11012" max="11013" width="16.6640625" style="1042" customWidth="1"/>
    <col min="11014" max="11014" width="13.109375" style="1042" customWidth="1"/>
    <col min="11015" max="11015" width="14" style="1042" customWidth="1"/>
    <col min="11016" max="11016" width="17.33203125" style="1042" customWidth="1"/>
    <col min="11017" max="11017" width="16.44140625" style="1042" customWidth="1"/>
    <col min="11018" max="11019" width="15.44140625" style="1042" customWidth="1"/>
    <col min="11020" max="11020" width="25.6640625" style="1042" customWidth="1"/>
    <col min="11021" max="11021" width="31.6640625" style="1042" customWidth="1"/>
    <col min="11022" max="11022" width="34.109375" style="1042" customWidth="1"/>
    <col min="11023" max="11023" width="37.6640625" style="1042" customWidth="1"/>
    <col min="11024" max="11024" width="48.6640625" style="1042" customWidth="1"/>
    <col min="11025" max="11025" width="29.44140625" style="1042" customWidth="1"/>
    <col min="11026" max="11258" width="11.5546875" style="1042"/>
    <col min="11259" max="11259" width="5.44140625" style="1042" customWidth="1"/>
    <col min="11260" max="11260" width="34.44140625" style="1042" customWidth="1"/>
    <col min="11261" max="11261" width="27.6640625" style="1042" customWidth="1"/>
    <col min="11262" max="11262" width="18.109375" style="1042" customWidth="1"/>
    <col min="11263" max="11263" width="24" style="1042" customWidth="1"/>
    <col min="11264" max="11264" width="16" style="1042" customWidth="1"/>
    <col min="11265" max="11265" width="16.109375" style="1042" customWidth="1"/>
    <col min="11266" max="11266" width="15.6640625" style="1042" customWidth="1"/>
    <col min="11267" max="11267" width="17.44140625" style="1042" customWidth="1"/>
    <col min="11268" max="11269" width="16.6640625" style="1042" customWidth="1"/>
    <col min="11270" max="11270" width="13.109375" style="1042" customWidth="1"/>
    <col min="11271" max="11271" width="14" style="1042" customWidth="1"/>
    <col min="11272" max="11272" width="17.33203125" style="1042" customWidth="1"/>
    <col min="11273" max="11273" width="16.44140625" style="1042" customWidth="1"/>
    <col min="11274" max="11275" width="15.44140625" style="1042" customWidth="1"/>
    <col min="11276" max="11276" width="25.6640625" style="1042" customWidth="1"/>
    <col min="11277" max="11277" width="31.6640625" style="1042" customWidth="1"/>
    <col min="11278" max="11278" width="34.109375" style="1042" customWidth="1"/>
    <col min="11279" max="11279" width="37.6640625" style="1042" customWidth="1"/>
    <col min="11280" max="11280" width="48.6640625" style="1042" customWidth="1"/>
    <col min="11281" max="11281" width="29.44140625" style="1042" customWidth="1"/>
    <col min="11282" max="11514" width="11.5546875" style="1042"/>
    <col min="11515" max="11515" width="5.44140625" style="1042" customWidth="1"/>
    <col min="11516" max="11516" width="34.44140625" style="1042" customWidth="1"/>
    <col min="11517" max="11517" width="27.6640625" style="1042" customWidth="1"/>
    <col min="11518" max="11518" width="18.109375" style="1042" customWidth="1"/>
    <col min="11519" max="11519" width="24" style="1042" customWidth="1"/>
    <col min="11520" max="11520" width="16" style="1042" customWidth="1"/>
    <col min="11521" max="11521" width="16.109375" style="1042" customWidth="1"/>
    <col min="11522" max="11522" width="15.6640625" style="1042" customWidth="1"/>
    <col min="11523" max="11523" width="17.44140625" style="1042" customWidth="1"/>
    <col min="11524" max="11525" width="16.6640625" style="1042" customWidth="1"/>
    <col min="11526" max="11526" width="13.109375" style="1042" customWidth="1"/>
    <col min="11527" max="11527" width="14" style="1042" customWidth="1"/>
    <col min="11528" max="11528" width="17.33203125" style="1042" customWidth="1"/>
    <col min="11529" max="11529" width="16.44140625" style="1042" customWidth="1"/>
    <col min="11530" max="11531" width="15.44140625" style="1042" customWidth="1"/>
    <col min="11532" max="11532" width="25.6640625" style="1042" customWidth="1"/>
    <col min="11533" max="11533" width="31.6640625" style="1042" customWidth="1"/>
    <col min="11534" max="11534" width="34.109375" style="1042" customWidth="1"/>
    <col min="11535" max="11535" width="37.6640625" style="1042" customWidth="1"/>
    <col min="11536" max="11536" width="48.6640625" style="1042" customWidth="1"/>
    <col min="11537" max="11537" width="29.44140625" style="1042" customWidth="1"/>
    <col min="11538" max="11770" width="11.5546875" style="1042"/>
    <col min="11771" max="11771" width="5.44140625" style="1042" customWidth="1"/>
    <col min="11772" max="11772" width="34.44140625" style="1042" customWidth="1"/>
    <col min="11773" max="11773" width="27.6640625" style="1042" customWidth="1"/>
    <col min="11774" max="11774" width="18.109375" style="1042" customWidth="1"/>
    <col min="11775" max="11775" width="24" style="1042" customWidth="1"/>
    <col min="11776" max="11776" width="16" style="1042" customWidth="1"/>
    <col min="11777" max="11777" width="16.109375" style="1042" customWidth="1"/>
    <col min="11778" max="11778" width="15.6640625" style="1042" customWidth="1"/>
    <col min="11779" max="11779" width="17.44140625" style="1042" customWidth="1"/>
    <col min="11780" max="11781" width="16.6640625" style="1042" customWidth="1"/>
    <col min="11782" max="11782" width="13.109375" style="1042" customWidth="1"/>
    <col min="11783" max="11783" width="14" style="1042" customWidth="1"/>
    <col min="11784" max="11784" width="17.33203125" style="1042" customWidth="1"/>
    <col min="11785" max="11785" width="16.44140625" style="1042" customWidth="1"/>
    <col min="11786" max="11787" width="15.44140625" style="1042" customWidth="1"/>
    <col min="11788" max="11788" width="25.6640625" style="1042" customWidth="1"/>
    <col min="11789" max="11789" width="31.6640625" style="1042" customWidth="1"/>
    <col min="11790" max="11790" width="34.109375" style="1042" customWidth="1"/>
    <col min="11791" max="11791" width="37.6640625" style="1042" customWidth="1"/>
    <col min="11792" max="11792" width="48.6640625" style="1042" customWidth="1"/>
    <col min="11793" max="11793" width="29.44140625" style="1042" customWidth="1"/>
    <col min="11794" max="12026" width="11.5546875" style="1042"/>
    <col min="12027" max="12027" width="5.44140625" style="1042" customWidth="1"/>
    <col min="12028" max="12028" width="34.44140625" style="1042" customWidth="1"/>
    <col min="12029" max="12029" width="27.6640625" style="1042" customWidth="1"/>
    <col min="12030" max="12030" width="18.109375" style="1042" customWidth="1"/>
    <col min="12031" max="12031" width="24" style="1042" customWidth="1"/>
    <col min="12032" max="12032" width="16" style="1042" customWidth="1"/>
    <col min="12033" max="12033" width="16.109375" style="1042" customWidth="1"/>
    <col min="12034" max="12034" width="15.6640625" style="1042" customWidth="1"/>
    <col min="12035" max="12035" width="17.44140625" style="1042" customWidth="1"/>
    <col min="12036" max="12037" width="16.6640625" style="1042" customWidth="1"/>
    <col min="12038" max="12038" width="13.109375" style="1042" customWidth="1"/>
    <col min="12039" max="12039" width="14" style="1042" customWidth="1"/>
    <col min="12040" max="12040" width="17.33203125" style="1042" customWidth="1"/>
    <col min="12041" max="12041" width="16.44140625" style="1042" customWidth="1"/>
    <col min="12042" max="12043" width="15.44140625" style="1042" customWidth="1"/>
    <col min="12044" max="12044" width="25.6640625" style="1042" customWidth="1"/>
    <col min="12045" max="12045" width="31.6640625" style="1042" customWidth="1"/>
    <col min="12046" max="12046" width="34.109375" style="1042" customWidth="1"/>
    <col min="12047" max="12047" width="37.6640625" style="1042" customWidth="1"/>
    <col min="12048" max="12048" width="48.6640625" style="1042" customWidth="1"/>
    <col min="12049" max="12049" width="29.44140625" style="1042" customWidth="1"/>
    <col min="12050" max="12282" width="11.5546875" style="1042"/>
    <col min="12283" max="12283" width="5.44140625" style="1042" customWidth="1"/>
    <col min="12284" max="12284" width="34.44140625" style="1042" customWidth="1"/>
    <col min="12285" max="12285" width="27.6640625" style="1042" customWidth="1"/>
    <col min="12286" max="12286" width="18.109375" style="1042" customWidth="1"/>
    <col min="12287" max="12287" width="24" style="1042" customWidth="1"/>
    <col min="12288" max="12288" width="16" style="1042" customWidth="1"/>
    <col min="12289" max="12289" width="16.109375" style="1042" customWidth="1"/>
    <col min="12290" max="12290" width="15.6640625" style="1042" customWidth="1"/>
    <col min="12291" max="12291" width="17.44140625" style="1042" customWidth="1"/>
    <col min="12292" max="12293" width="16.6640625" style="1042" customWidth="1"/>
    <col min="12294" max="12294" width="13.109375" style="1042" customWidth="1"/>
    <col min="12295" max="12295" width="14" style="1042" customWidth="1"/>
    <col min="12296" max="12296" width="17.33203125" style="1042" customWidth="1"/>
    <col min="12297" max="12297" width="16.44140625" style="1042" customWidth="1"/>
    <col min="12298" max="12299" width="15.44140625" style="1042" customWidth="1"/>
    <col min="12300" max="12300" width="25.6640625" style="1042" customWidth="1"/>
    <col min="12301" max="12301" width="31.6640625" style="1042" customWidth="1"/>
    <col min="12302" max="12302" width="34.109375" style="1042" customWidth="1"/>
    <col min="12303" max="12303" width="37.6640625" style="1042" customWidth="1"/>
    <col min="12304" max="12304" width="48.6640625" style="1042" customWidth="1"/>
    <col min="12305" max="12305" width="29.44140625" style="1042" customWidth="1"/>
    <col min="12306" max="12538" width="11.5546875" style="1042"/>
    <col min="12539" max="12539" width="5.44140625" style="1042" customWidth="1"/>
    <col min="12540" max="12540" width="34.44140625" style="1042" customWidth="1"/>
    <col min="12541" max="12541" width="27.6640625" style="1042" customWidth="1"/>
    <col min="12542" max="12542" width="18.109375" style="1042" customWidth="1"/>
    <col min="12543" max="12543" width="24" style="1042" customWidth="1"/>
    <col min="12544" max="12544" width="16" style="1042" customWidth="1"/>
    <col min="12545" max="12545" width="16.109375" style="1042" customWidth="1"/>
    <col min="12546" max="12546" width="15.6640625" style="1042" customWidth="1"/>
    <col min="12547" max="12547" width="17.44140625" style="1042" customWidth="1"/>
    <col min="12548" max="12549" width="16.6640625" style="1042" customWidth="1"/>
    <col min="12550" max="12550" width="13.109375" style="1042" customWidth="1"/>
    <col min="12551" max="12551" width="14" style="1042" customWidth="1"/>
    <col min="12552" max="12552" width="17.33203125" style="1042" customWidth="1"/>
    <col min="12553" max="12553" width="16.44140625" style="1042" customWidth="1"/>
    <col min="12554" max="12555" width="15.44140625" style="1042" customWidth="1"/>
    <col min="12556" max="12556" width="25.6640625" style="1042" customWidth="1"/>
    <col min="12557" max="12557" width="31.6640625" style="1042" customWidth="1"/>
    <col min="12558" max="12558" width="34.109375" style="1042" customWidth="1"/>
    <col min="12559" max="12559" width="37.6640625" style="1042" customWidth="1"/>
    <col min="12560" max="12560" width="48.6640625" style="1042" customWidth="1"/>
    <col min="12561" max="12561" width="29.44140625" style="1042" customWidth="1"/>
    <col min="12562" max="12794" width="11.5546875" style="1042"/>
    <col min="12795" max="12795" width="5.44140625" style="1042" customWidth="1"/>
    <col min="12796" max="12796" width="34.44140625" style="1042" customWidth="1"/>
    <col min="12797" max="12797" width="27.6640625" style="1042" customWidth="1"/>
    <col min="12798" max="12798" width="18.109375" style="1042" customWidth="1"/>
    <col min="12799" max="12799" width="24" style="1042" customWidth="1"/>
    <col min="12800" max="12800" width="16" style="1042" customWidth="1"/>
    <col min="12801" max="12801" width="16.109375" style="1042" customWidth="1"/>
    <col min="12802" max="12802" width="15.6640625" style="1042" customWidth="1"/>
    <col min="12803" max="12803" width="17.44140625" style="1042" customWidth="1"/>
    <col min="12804" max="12805" width="16.6640625" style="1042" customWidth="1"/>
    <col min="12806" max="12806" width="13.109375" style="1042" customWidth="1"/>
    <col min="12807" max="12807" width="14" style="1042" customWidth="1"/>
    <col min="12808" max="12808" width="17.33203125" style="1042" customWidth="1"/>
    <col min="12809" max="12809" width="16.44140625" style="1042" customWidth="1"/>
    <col min="12810" max="12811" width="15.44140625" style="1042" customWidth="1"/>
    <col min="12812" max="12812" width="25.6640625" style="1042" customWidth="1"/>
    <col min="12813" max="12813" width="31.6640625" style="1042" customWidth="1"/>
    <col min="12814" max="12814" width="34.109375" style="1042" customWidth="1"/>
    <col min="12815" max="12815" width="37.6640625" style="1042" customWidth="1"/>
    <col min="12816" max="12816" width="48.6640625" style="1042" customWidth="1"/>
    <col min="12817" max="12817" width="29.44140625" style="1042" customWidth="1"/>
    <col min="12818" max="13050" width="11.5546875" style="1042"/>
    <col min="13051" max="13051" width="5.44140625" style="1042" customWidth="1"/>
    <col min="13052" max="13052" width="34.44140625" style="1042" customWidth="1"/>
    <col min="13053" max="13053" width="27.6640625" style="1042" customWidth="1"/>
    <col min="13054" max="13054" width="18.109375" style="1042" customWidth="1"/>
    <col min="13055" max="13055" width="24" style="1042" customWidth="1"/>
    <col min="13056" max="13056" width="16" style="1042" customWidth="1"/>
    <col min="13057" max="13057" width="16.109375" style="1042" customWidth="1"/>
    <col min="13058" max="13058" width="15.6640625" style="1042" customWidth="1"/>
    <col min="13059" max="13059" width="17.44140625" style="1042" customWidth="1"/>
    <col min="13060" max="13061" width="16.6640625" style="1042" customWidth="1"/>
    <col min="13062" max="13062" width="13.109375" style="1042" customWidth="1"/>
    <col min="13063" max="13063" width="14" style="1042" customWidth="1"/>
    <col min="13064" max="13064" width="17.33203125" style="1042" customWidth="1"/>
    <col min="13065" max="13065" width="16.44140625" style="1042" customWidth="1"/>
    <col min="13066" max="13067" width="15.44140625" style="1042" customWidth="1"/>
    <col min="13068" max="13068" width="25.6640625" style="1042" customWidth="1"/>
    <col min="13069" max="13069" width="31.6640625" style="1042" customWidth="1"/>
    <col min="13070" max="13070" width="34.109375" style="1042" customWidth="1"/>
    <col min="13071" max="13071" width="37.6640625" style="1042" customWidth="1"/>
    <col min="13072" max="13072" width="48.6640625" style="1042" customWidth="1"/>
    <col min="13073" max="13073" width="29.44140625" style="1042" customWidth="1"/>
    <col min="13074" max="13306" width="11.5546875" style="1042"/>
    <col min="13307" max="13307" width="5.44140625" style="1042" customWidth="1"/>
    <col min="13308" max="13308" width="34.44140625" style="1042" customWidth="1"/>
    <col min="13309" max="13309" width="27.6640625" style="1042" customWidth="1"/>
    <col min="13310" max="13310" width="18.109375" style="1042" customWidth="1"/>
    <col min="13311" max="13311" width="24" style="1042" customWidth="1"/>
    <col min="13312" max="13312" width="16" style="1042" customWidth="1"/>
    <col min="13313" max="13313" width="16.109375" style="1042" customWidth="1"/>
    <col min="13314" max="13314" width="15.6640625" style="1042" customWidth="1"/>
    <col min="13315" max="13315" width="17.44140625" style="1042" customWidth="1"/>
    <col min="13316" max="13317" width="16.6640625" style="1042" customWidth="1"/>
    <col min="13318" max="13318" width="13.109375" style="1042" customWidth="1"/>
    <col min="13319" max="13319" width="14" style="1042" customWidth="1"/>
    <col min="13320" max="13320" width="17.33203125" style="1042" customWidth="1"/>
    <col min="13321" max="13321" width="16.44140625" style="1042" customWidth="1"/>
    <col min="13322" max="13323" width="15.44140625" style="1042" customWidth="1"/>
    <col min="13324" max="13324" width="25.6640625" style="1042" customWidth="1"/>
    <col min="13325" max="13325" width="31.6640625" style="1042" customWidth="1"/>
    <col min="13326" max="13326" width="34.109375" style="1042" customWidth="1"/>
    <col min="13327" max="13327" width="37.6640625" style="1042" customWidth="1"/>
    <col min="13328" max="13328" width="48.6640625" style="1042" customWidth="1"/>
    <col min="13329" max="13329" width="29.44140625" style="1042" customWidth="1"/>
    <col min="13330" max="13562" width="11.5546875" style="1042"/>
    <col min="13563" max="13563" width="5.44140625" style="1042" customWidth="1"/>
    <col min="13564" max="13564" width="34.44140625" style="1042" customWidth="1"/>
    <col min="13565" max="13565" width="27.6640625" style="1042" customWidth="1"/>
    <col min="13566" max="13566" width="18.109375" style="1042" customWidth="1"/>
    <col min="13567" max="13567" width="24" style="1042" customWidth="1"/>
    <col min="13568" max="13568" width="16" style="1042" customWidth="1"/>
    <col min="13569" max="13569" width="16.109375" style="1042" customWidth="1"/>
    <col min="13570" max="13570" width="15.6640625" style="1042" customWidth="1"/>
    <col min="13571" max="13571" width="17.44140625" style="1042" customWidth="1"/>
    <col min="13572" max="13573" width="16.6640625" style="1042" customWidth="1"/>
    <col min="13574" max="13574" width="13.109375" style="1042" customWidth="1"/>
    <col min="13575" max="13575" width="14" style="1042" customWidth="1"/>
    <col min="13576" max="13576" width="17.33203125" style="1042" customWidth="1"/>
    <col min="13577" max="13577" width="16.44140625" style="1042" customWidth="1"/>
    <col min="13578" max="13579" width="15.44140625" style="1042" customWidth="1"/>
    <col min="13580" max="13580" width="25.6640625" style="1042" customWidth="1"/>
    <col min="13581" max="13581" width="31.6640625" style="1042" customWidth="1"/>
    <col min="13582" max="13582" width="34.109375" style="1042" customWidth="1"/>
    <col min="13583" max="13583" width="37.6640625" style="1042" customWidth="1"/>
    <col min="13584" max="13584" width="48.6640625" style="1042" customWidth="1"/>
    <col min="13585" max="13585" width="29.44140625" style="1042" customWidth="1"/>
    <col min="13586" max="13818" width="11.5546875" style="1042"/>
    <col min="13819" max="13819" width="5.44140625" style="1042" customWidth="1"/>
    <col min="13820" max="13820" width="34.44140625" style="1042" customWidth="1"/>
    <col min="13821" max="13821" width="27.6640625" style="1042" customWidth="1"/>
    <col min="13822" max="13822" width="18.109375" style="1042" customWidth="1"/>
    <col min="13823" max="13823" width="24" style="1042" customWidth="1"/>
    <col min="13824" max="13824" width="16" style="1042" customWidth="1"/>
    <col min="13825" max="13825" width="16.109375" style="1042" customWidth="1"/>
    <col min="13826" max="13826" width="15.6640625" style="1042" customWidth="1"/>
    <col min="13827" max="13827" width="17.44140625" style="1042" customWidth="1"/>
    <col min="13828" max="13829" width="16.6640625" style="1042" customWidth="1"/>
    <col min="13830" max="13830" width="13.109375" style="1042" customWidth="1"/>
    <col min="13831" max="13831" width="14" style="1042" customWidth="1"/>
    <col min="13832" max="13832" width="17.33203125" style="1042" customWidth="1"/>
    <col min="13833" max="13833" width="16.44140625" style="1042" customWidth="1"/>
    <col min="13834" max="13835" width="15.44140625" style="1042" customWidth="1"/>
    <col min="13836" max="13836" width="25.6640625" style="1042" customWidth="1"/>
    <col min="13837" max="13837" width="31.6640625" style="1042" customWidth="1"/>
    <col min="13838" max="13838" width="34.109375" style="1042" customWidth="1"/>
    <col min="13839" max="13839" width="37.6640625" style="1042" customWidth="1"/>
    <col min="13840" max="13840" width="48.6640625" style="1042" customWidth="1"/>
    <col min="13841" max="13841" width="29.44140625" style="1042" customWidth="1"/>
    <col min="13842" max="14074" width="11.5546875" style="1042"/>
    <col min="14075" max="14075" width="5.44140625" style="1042" customWidth="1"/>
    <col min="14076" max="14076" width="34.44140625" style="1042" customWidth="1"/>
    <col min="14077" max="14077" width="27.6640625" style="1042" customWidth="1"/>
    <col min="14078" max="14078" width="18.109375" style="1042" customWidth="1"/>
    <col min="14079" max="14079" width="24" style="1042" customWidth="1"/>
    <col min="14080" max="14080" width="16" style="1042" customWidth="1"/>
    <col min="14081" max="14081" width="16.109375" style="1042" customWidth="1"/>
    <col min="14082" max="14082" width="15.6640625" style="1042" customWidth="1"/>
    <col min="14083" max="14083" width="17.44140625" style="1042" customWidth="1"/>
    <col min="14084" max="14085" width="16.6640625" style="1042" customWidth="1"/>
    <col min="14086" max="14086" width="13.109375" style="1042" customWidth="1"/>
    <col min="14087" max="14087" width="14" style="1042" customWidth="1"/>
    <col min="14088" max="14088" width="17.33203125" style="1042" customWidth="1"/>
    <col min="14089" max="14089" width="16.44140625" style="1042" customWidth="1"/>
    <col min="14090" max="14091" width="15.44140625" style="1042" customWidth="1"/>
    <col min="14092" max="14092" width="25.6640625" style="1042" customWidth="1"/>
    <col min="14093" max="14093" width="31.6640625" style="1042" customWidth="1"/>
    <col min="14094" max="14094" width="34.109375" style="1042" customWidth="1"/>
    <col min="14095" max="14095" width="37.6640625" style="1042" customWidth="1"/>
    <col min="14096" max="14096" width="48.6640625" style="1042" customWidth="1"/>
    <col min="14097" max="14097" width="29.44140625" style="1042" customWidth="1"/>
    <col min="14098" max="14330" width="11.5546875" style="1042"/>
    <col min="14331" max="14331" width="5.44140625" style="1042" customWidth="1"/>
    <col min="14332" max="14332" width="34.44140625" style="1042" customWidth="1"/>
    <col min="14333" max="14333" width="27.6640625" style="1042" customWidth="1"/>
    <col min="14334" max="14334" width="18.109375" style="1042" customWidth="1"/>
    <col min="14335" max="14335" width="24" style="1042" customWidth="1"/>
    <col min="14336" max="14336" width="16" style="1042" customWidth="1"/>
    <col min="14337" max="14337" width="16.109375" style="1042" customWidth="1"/>
    <col min="14338" max="14338" width="15.6640625" style="1042" customWidth="1"/>
    <col min="14339" max="14339" width="17.44140625" style="1042" customWidth="1"/>
    <col min="14340" max="14341" width="16.6640625" style="1042" customWidth="1"/>
    <col min="14342" max="14342" width="13.109375" style="1042" customWidth="1"/>
    <col min="14343" max="14343" width="14" style="1042" customWidth="1"/>
    <col min="14344" max="14344" width="17.33203125" style="1042" customWidth="1"/>
    <col min="14345" max="14345" width="16.44140625" style="1042" customWidth="1"/>
    <col min="14346" max="14347" width="15.44140625" style="1042" customWidth="1"/>
    <col min="14348" max="14348" width="25.6640625" style="1042" customWidth="1"/>
    <col min="14349" max="14349" width="31.6640625" style="1042" customWidth="1"/>
    <col min="14350" max="14350" width="34.109375" style="1042" customWidth="1"/>
    <col min="14351" max="14351" width="37.6640625" style="1042" customWidth="1"/>
    <col min="14352" max="14352" width="48.6640625" style="1042" customWidth="1"/>
    <col min="14353" max="14353" width="29.44140625" style="1042" customWidth="1"/>
    <col min="14354" max="14586" width="11.5546875" style="1042"/>
    <col min="14587" max="14587" width="5.44140625" style="1042" customWidth="1"/>
    <col min="14588" max="14588" width="34.44140625" style="1042" customWidth="1"/>
    <col min="14589" max="14589" width="27.6640625" style="1042" customWidth="1"/>
    <col min="14590" max="14590" width="18.109375" style="1042" customWidth="1"/>
    <col min="14591" max="14591" width="24" style="1042" customWidth="1"/>
    <col min="14592" max="14592" width="16" style="1042" customWidth="1"/>
    <col min="14593" max="14593" width="16.109375" style="1042" customWidth="1"/>
    <col min="14594" max="14594" width="15.6640625" style="1042" customWidth="1"/>
    <col min="14595" max="14595" width="17.44140625" style="1042" customWidth="1"/>
    <col min="14596" max="14597" width="16.6640625" style="1042" customWidth="1"/>
    <col min="14598" max="14598" width="13.109375" style="1042" customWidth="1"/>
    <col min="14599" max="14599" width="14" style="1042" customWidth="1"/>
    <col min="14600" max="14600" width="17.33203125" style="1042" customWidth="1"/>
    <col min="14601" max="14601" width="16.44140625" style="1042" customWidth="1"/>
    <col min="14602" max="14603" width="15.44140625" style="1042" customWidth="1"/>
    <col min="14604" max="14604" width="25.6640625" style="1042" customWidth="1"/>
    <col min="14605" max="14605" width="31.6640625" style="1042" customWidth="1"/>
    <col min="14606" max="14606" width="34.109375" style="1042" customWidth="1"/>
    <col min="14607" max="14607" width="37.6640625" style="1042" customWidth="1"/>
    <col min="14608" max="14608" width="48.6640625" style="1042" customWidth="1"/>
    <col min="14609" max="14609" width="29.44140625" style="1042" customWidth="1"/>
    <col min="14610" max="14842" width="11.5546875" style="1042"/>
    <col min="14843" max="14843" width="5.44140625" style="1042" customWidth="1"/>
    <col min="14844" max="14844" width="34.44140625" style="1042" customWidth="1"/>
    <col min="14845" max="14845" width="27.6640625" style="1042" customWidth="1"/>
    <col min="14846" max="14846" width="18.109375" style="1042" customWidth="1"/>
    <col min="14847" max="14847" width="24" style="1042" customWidth="1"/>
    <col min="14848" max="14848" width="16" style="1042" customWidth="1"/>
    <col min="14849" max="14849" width="16.109375" style="1042" customWidth="1"/>
    <col min="14850" max="14850" width="15.6640625" style="1042" customWidth="1"/>
    <col min="14851" max="14851" width="17.44140625" style="1042" customWidth="1"/>
    <col min="14852" max="14853" width="16.6640625" style="1042" customWidth="1"/>
    <col min="14854" max="14854" width="13.109375" style="1042" customWidth="1"/>
    <col min="14855" max="14855" width="14" style="1042" customWidth="1"/>
    <col min="14856" max="14856" width="17.33203125" style="1042" customWidth="1"/>
    <col min="14857" max="14857" width="16.44140625" style="1042" customWidth="1"/>
    <col min="14858" max="14859" width="15.44140625" style="1042" customWidth="1"/>
    <col min="14860" max="14860" width="25.6640625" style="1042" customWidth="1"/>
    <col min="14861" max="14861" width="31.6640625" style="1042" customWidth="1"/>
    <col min="14862" max="14862" width="34.109375" style="1042" customWidth="1"/>
    <col min="14863" max="14863" width="37.6640625" style="1042" customWidth="1"/>
    <col min="14864" max="14864" width="48.6640625" style="1042" customWidth="1"/>
    <col min="14865" max="14865" width="29.44140625" style="1042" customWidth="1"/>
    <col min="14866" max="15098" width="11.5546875" style="1042"/>
    <col min="15099" max="15099" width="5.44140625" style="1042" customWidth="1"/>
    <col min="15100" max="15100" width="34.44140625" style="1042" customWidth="1"/>
    <col min="15101" max="15101" width="27.6640625" style="1042" customWidth="1"/>
    <col min="15102" max="15102" width="18.109375" style="1042" customWidth="1"/>
    <col min="15103" max="15103" width="24" style="1042" customWidth="1"/>
    <col min="15104" max="15104" width="16" style="1042" customWidth="1"/>
    <col min="15105" max="15105" width="16.109375" style="1042" customWidth="1"/>
    <col min="15106" max="15106" width="15.6640625" style="1042" customWidth="1"/>
    <col min="15107" max="15107" width="17.44140625" style="1042" customWidth="1"/>
    <col min="15108" max="15109" width="16.6640625" style="1042" customWidth="1"/>
    <col min="15110" max="15110" width="13.109375" style="1042" customWidth="1"/>
    <col min="15111" max="15111" width="14" style="1042" customWidth="1"/>
    <col min="15112" max="15112" width="17.33203125" style="1042" customWidth="1"/>
    <col min="15113" max="15113" width="16.44140625" style="1042" customWidth="1"/>
    <col min="15114" max="15115" width="15.44140625" style="1042" customWidth="1"/>
    <col min="15116" max="15116" width="25.6640625" style="1042" customWidth="1"/>
    <col min="15117" max="15117" width="31.6640625" style="1042" customWidth="1"/>
    <col min="15118" max="15118" width="34.109375" style="1042" customWidth="1"/>
    <col min="15119" max="15119" width="37.6640625" style="1042" customWidth="1"/>
    <col min="15120" max="15120" width="48.6640625" style="1042" customWidth="1"/>
    <col min="15121" max="15121" width="29.44140625" style="1042" customWidth="1"/>
    <col min="15122" max="15354" width="11.5546875" style="1042"/>
    <col min="15355" max="15355" width="5.44140625" style="1042" customWidth="1"/>
    <col min="15356" max="15356" width="34.44140625" style="1042" customWidth="1"/>
    <col min="15357" max="15357" width="27.6640625" style="1042" customWidth="1"/>
    <col min="15358" max="15358" width="18.109375" style="1042" customWidth="1"/>
    <col min="15359" max="15359" width="24" style="1042" customWidth="1"/>
    <col min="15360" max="15360" width="16" style="1042" customWidth="1"/>
    <col min="15361" max="15361" width="16.109375" style="1042" customWidth="1"/>
    <col min="15362" max="15362" width="15.6640625" style="1042" customWidth="1"/>
    <col min="15363" max="15363" width="17.44140625" style="1042" customWidth="1"/>
    <col min="15364" max="15365" width="16.6640625" style="1042" customWidth="1"/>
    <col min="15366" max="15366" width="13.109375" style="1042" customWidth="1"/>
    <col min="15367" max="15367" width="14" style="1042" customWidth="1"/>
    <col min="15368" max="15368" width="17.33203125" style="1042" customWidth="1"/>
    <col min="15369" max="15369" width="16.44140625" style="1042" customWidth="1"/>
    <col min="15370" max="15371" width="15.44140625" style="1042" customWidth="1"/>
    <col min="15372" max="15372" width="25.6640625" style="1042" customWidth="1"/>
    <col min="15373" max="15373" width="31.6640625" style="1042" customWidth="1"/>
    <col min="15374" max="15374" width="34.109375" style="1042" customWidth="1"/>
    <col min="15375" max="15375" width="37.6640625" style="1042" customWidth="1"/>
    <col min="15376" max="15376" width="48.6640625" style="1042" customWidth="1"/>
    <col min="15377" max="15377" width="29.44140625" style="1042" customWidth="1"/>
    <col min="15378" max="15610" width="11.5546875" style="1042"/>
    <col min="15611" max="15611" width="5.44140625" style="1042" customWidth="1"/>
    <col min="15612" max="15612" width="34.44140625" style="1042" customWidth="1"/>
    <col min="15613" max="15613" width="27.6640625" style="1042" customWidth="1"/>
    <col min="15614" max="15614" width="18.109375" style="1042" customWidth="1"/>
    <col min="15615" max="15615" width="24" style="1042" customWidth="1"/>
    <col min="15616" max="15616" width="16" style="1042" customWidth="1"/>
    <col min="15617" max="15617" width="16.109375" style="1042" customWidth="1"/>
    <col min="15618" max="15618" width="15.6640625" style="1042" customWidth="1"/>
    <col min="15619" max="15619" width="17.44140625" style="1042" customWidth="1"/>
    <col min="15620" max="15621" width="16.6640625" style="1042" customWidth="1"/>
    <col min="15622" max="15622" width="13.109375" style="1042" customWidth="1"/>
    <col min="15623" max="15623" width="14" style="1042" customWidth="1"/>
    <col min="15624" max="15624" width="17.33203125" style="1042" customWidth="1"/>
    <col min="15625" max="15625" width="16.44140625" style="1042" customWidth="1"/>
    <col min="15626" max="15627" width="15.44140625" style="1042" customWidth="1"/>
    <col min="15628" max="15628" width="25.6640625" style="1042" customWidth="1"/>
    <col min="15629" max="15629" width="31.6640625" style="1042" customWidth="1"/>
    <col min="15630" max="15630" width="34.109375" style="1042" customWidth="1"/>
    <col min="15631" max="15631" width="37.6640625" style="1042" customWidth="1"/>
    <col min="15632" max="15632" width="48.6640625" style="1042" customWidth="1"/>
    <col min="15633" max="15633" width="29.44140625" style="1042" customWidth="1"/>
    <col min="15634" max="15866" width="11.5546875" style="1042"/>
    <col min="15867" max="15867" width="5.44140625" style="1042" customWidth="1"/>
    <col min="15868" max="15868" width="34.44140625" style="1042" customWidth="1"/>
    <col min="15869" max="15869" width="27.6640625" style="1042" customWidth="1"/>
    <col min="15870" max="15870" width="18.109375" style="1042" customWidth="1"/>
    <col min="15871" max="15871" width="24" style="1042" customWidth="1"/>
    <col min="15872" max="15872" width="16" style="1042" customWidth="1"/>
    <col min="15873" max="15873" width="16.109375" style="1042" customWidth="1"/>
    <col min="15874" max="15874" width="15.6640625" style="1042" customWidth="1"/>
    <col min="15875" max="15875" width="17.44140625" style="1042" customWidth="1"/>
    <col min="15876" max="15877" width="16.6640625" style="1042" customWidth="1"/>
    <col min="15878" max="15878" width="13.109375" style="1042" customWidth="1"/>
    <col min="15879" max="15879" width="14" style="1042" customWidth="1"/>
    <col min="15880" max="15880" width="17.33203125" style="1042" customWidth="1"/>
    <col min="15881" max="15881" width="16.44140625" style="1042" customWidth="1"/>
    <col min="15882" max="15883" width="15.44140625" style="1042" customWidth="1"/>
    <col min="15884" max="15884" width="25.6640625" style="1042" customWidth="1"/>
    <col min="15885" max="15885" width="31.6640625" style="1042" customWidth="1"/>
    <col min="15886" max="15886" width="34.109375" style="1042" customWidth="1"/>
    <col min="15887" max="15887" width="37.6640625" style="1042" customWidth="1"/>
    <col min="15888" max="15888" width="48.6640625" style="1042" customWidth="1"/>
    <col min="15889" max="15889" width="29.44140625" style="1042" customWidth="1"/>
    <col min="15890" max="16122" width="11.5546875" style="1042"/>
    <col min="16123" max="16123" width="5.44140625" style="1042" customWidth="1"/>
    <col min="16124" max="16124" width="34.44140625" style="1042" customWidth="1"/>
    <col min="16125" max="16125" width="27.6640625" style="1042" customWidth="1"/>
    <col min="16126" max="16126" width="18.109375" style="1042" customWidth="1"/>
    <col min="16127" max="16127" width="24" style="1042" customWidth="1"/>
    <col min="16128" max="16128" width="16" style="1042" customWidth="1"/>
    <col min="16129" max="16129" width="16.109375" style="1042" customWidth="1"/>
    <col min="16130" max="16130" width="15.6640625" style="1042" customWidth="1"/>
    <col min="16131" max="16131" width="17.44140625" style="1042" customWidth="1"/>
    <col min="16132" max="16133" width="16.6640625" style="1042" customWidth="1"/>
    <col min="16134" max="16134" width="13.109375" style="1042" customWidth="1"/>
    <col min="16135" max="16135" width="14" style="1042" customWidth="1"/>
    <col min="16136" max="16136" width="17.33203125" style="1042" customWidth="1"/>
    <col min="16137" max="16137" width="16.44140625" style="1042" customWidth="1"/>
    <col min="16138" max="16139" width="15.44140625" style="1042" customWidth="1"/>
    <col min="16140" max="16140" width="25.6640625" style="1042" customWidth="1"/>
    <col min="16141" max="16141" width="31.6640625" style="1042" customWidth="1"/>
    <col min="16142" max="16142" width="34.109375" style="1042" customWidth="1"/>
    <col min="16143" max="16143" width="37.6640625" style="1042" customWidth="1"/>
    <col min="16144" max="16144" width="48.6640625" style="1042" customWidth="1"/>
    <col min="16145" max="16145" width="29.44140625" style="1042" customWidth="1"/>
    <col min="16146" max="16384" width="11.5546875" style="1042"/>
  </cols>
  <sheetData>
    <row r="2" spans="1:24" ht="51" customHeight="1" x14ac:dyDescent="0.25">
      <c r="B2" s="2323"/>
      <c r="C2" s="1901" t="s">
        <v>1687</v>
      </c>
      <c r="D2" s="1901"/>
      <c r="E2" s="1901"/>
      <c r="F2" s="1901"/>
      <c r="G2" s="1901"/>
      <c r="H2" s="1901"/>
      <c r="I2" s="1901"/>
      <c r="J2" s="1901"/>
      <c r="K2" s="1901"/>
      <c r="L2" s="1901"/>
      <c r="M2" s="1901"/>
      <c r="N2" s="1901"/>
      <c r="O2" s="1901"/>
      <c r="P2" s="1901"/>
      <c r="Q2" s="1901"/>
      <c r="R2" s="1901"/>
      <c r="S2" s="1901"/>
      <c r="T2" s="1901"/>
      <c r="U2" s="1901"/>
      <c r="V2" s="2152" t="s">
        <v>1684</v>
      </c>
    </row>
    <row r="3" spans="1:24" ht="41.25" customHeight="1" x14ac:dyDescent="0.25">
      <c r="B3" s="2154"/>
      <c r="C3" s="1901"/>
      <c r="D3" s="1901"/>
      <c r="E3" s="1901"/>
      <c r="F3" s="1901"/>
      <c r="G3" s="1901"/>
      <c r="H3" s="1901"/>
      <c r="I3" s="1901"/>
      <c r="J3" s="1901"/>
      <c r="K3" s="1901"/>
      <c r="L3" s="1901"/>
      <c r="M3" s="1901"/>
      <c r="N3" s="1901"/>
      <c r="O3" s="1901"/>
      <c r="P3" s="1901"/>
      <c r="Q3" s="1901"/>
      <c r="R3" s="1901"/>
      <c r="S3" s="1901"/>
      <c r="T3" s="1901"/>
      <c r="U3" s="1901"/>
      <c r="V3" s="2152"/>
    </row>
    <row r="5" spans="1:24" s="619" customFormat="1" ht="32.25" customHeight="1" x14ac:dyDescent="0.25">
      <c r="A5" s="1024"/>
      <c r="B5" s="1130"/>
      <c r="C5" s="2324" t="s">
        <v>1638</v>
      </c>
      <c r="D5" s="2324"/>
      <c r="E5" s="2324"/>
      <c r="F5" s="2324"/>
      <c r="G5" s="30"/>
      <c r="H5" s="30"/>
      <c r="I5" s="30"/>
      <c r="J5" s="30"/>
      <c r="K5" s="30"/>
      <c r="L5" s="30"/>
      <c r="M5" s="30"/>
      <c r="N5" s="30"/>
      <c r="O5" s="30"/>
      <c r="P5" s="621"/>
      <c r="Q5" s="621"/>
      <c r="R5" s="621"/>
      <c r="S5" s="621"/>
      <c r="T5" s="1025"/>
      <c r="U5" s="621"/>
      <c r="V5" s="304"/>
      <c r="W5" s="1026"/>
    </row>
    <row r="6" spans="1:24" s="619" customFormat="1" ht="18" customHeight="1" x14ac:dyDescent="0.3">
      <c r="A6" s="304"/>
      <c r="B6" s="304"/>
      <c r="C6" s="1021"/>
      <c r="D6" s="1021"/>
      <c r="E6" s="1021"/>
      <c r="F6" s="1021"/>
      <c r="G6" s="1021"/>
      <c r="H6" s="1021"/>
      <c r="I6" s="621"/>
      <c r="J6" s="621"/>
      <c r="K6" s="1025"/>
      <c r="L6" s="621"/>
      <c r="M6" s="621"/>
      <c r="N6" s="1025"/>
      <c r="O6" s="621"/>
      <c r="P6" s="621"/>
      <c r="Q6" s="621"/>
      <c r="R6" s="621"/>
      <c r="S6" s="621"/>
      <c r="T6" s="1025"/>
      <c r="U6" s="621"/>
      <c r="V6" s="304"/>
      <c r="W6" s="1026"/>
      <c r="X6" s="1027"/>
    </row>
    <row r="7" spans="1:24" s="30" customFormat="1" x14ac:dyDescent="0.25">
      <c r="B7" s="1028" t="s">
        <v>1</v>
      </c>
      <c r="C7" s="2327" t="str">
        <f>+FENECIMIENTO!D5</f>
        <v>204 - Instituto de Desarrollo Urbano – IDU</v>
      </c>
      <c r="D7" s="2328"/>
      <c r="E7" s="1029" t="s">
        <v>772</v>
      </c>
      <c r="F7" s="1030">
        <f>+FENECIMIENTO!K5</f>
        <v>2024</v>
      </c>
      <c r="G7" s="1031"/>
      <c r="I7" s="1031"/>
      <c r="K7" s="1032"/>
      <c r="N7" s="1032"/>
      <c r="T7" s="1032"/>
      <c r="U7" s="1033"/>
      <c r="V7" s="797"/>
      <c r="W7" s="1034"/>
    </row>
    <row r="8" spans="1:24" s="30" customFormat="1" x14ac:dyDescent="0.25">
      <c r="B8" s="1028" t="s">
        <v>878</v>
      </c>
      <c r="C8" s="2329">
        <f>+FENECIMIENTO!D7</f>
        <v>45693</v>
      </c>
      <c r="D8" s="2329"/>
      <c r="E8" s="1029" t="s">
        <v>1683</v>
      </c>
      <c r="F8" s="1030">
        <f>+FENECIMIENTO!D6</f>
        <v>2025</v>
      </c>
      <c r="G8" s="1031"/>
      <c r="I8" s="1031"/>
      <c r="K8" s="1032"/>
      <c r="N8" s="1032"/>
      <c r="T8" s="1032"/>
      <c r="V8" s="797"/>
      <c r="W8" s="1034"/>
    </row>
    <row r="9" spans="1:24" s="30" customFormat="1" x14ac:dyDescent="0.25">
      <c r="B9" s="1028" t="s">
        <v>879</v>
      </c>
      <c r="C9" s="2329">
        <f>+FENECIMIENTO!K7</f>
        <v>45693</v>
      </c>
      <c r="D9" s="2329"/>
      <c r="E9" s="1035" t="s">
        <v>777</v>
      </c>
      <c r="F9" s="1036"/>
      <c r="G9" s="1031"/>
      <c r="I9" s="1031"/>
      <c r="K9" s="1032"/>
      <c r="N9" s="1032"/>
      <c r="T9" s="1032"/>
      <c r="V9" s="797"/>
      <c r="W9" s="1034"/>
    </row>
    <row r="10" spans="1:24" s="30" customFormat="1" ht="16.2" thickBot="1" x14ac:dyDescent="0.3">
      <c r="B10" s="1037"/>
      <c r="C10" s="1038"/>
      <c r="D10" s="1116"/>
      <c r="E10" s="1039"/>
      <c r="F10" s="1039"/>
      <c r="G10" s="1031"/>
      <c r="H10" s="51"/>
      <c r="I10" s="1031"/>
      <c r="K10" s="621"/>
      <c r="L10" s="621"/>
      <c r="M10" s="621"/>
      <c r="N10" s="621"/>
      <c r="O10" s="621"/>
      <c r="P10" s="621"/>
      <c r="Q10" s="621"/>
      <c r="R10" s="621"/>
      <c r="S10" s="621"/>
      <c r="T10" s="621"/>
      <c r="U10" s="621"/>
      <c r="V10" s="304"/>
      <c r="W10" s="1034"/>
    </row>
    <row r="11" spans="1:24" s="30" customFormat="1" ht="33" customHeight="1" thickTop="1" x14ac:dyDescent="0.25">
      <c r="B11" s="2331" t="s">
        <v>880</v>
      </c>
      <c r="C11" s="1022" t="s">
        <v>881</v>
      </c>
      <c r="D11" s="2332" t="s">
        <v>1600</v>
      </c>
      <c r="E11" s="1040" t="str">
        <f>IF(D11="PLANES Y PROYECTOS","",IF(D11="PLAN ESTRATEGICO INSTITUCIONAL o CORPORATIVO o el que haga sus veces",""))</f>
        <v/>
      </c>
      <c r="F11" s="1040"/>
      <c r="G11" s="1040"/>
      <c r="H11" s="1041" t="str">
        <f>IF(D11="PLANES Y PROYECTOS","",IF(D11="PLAN ESTRATEGICO INSTITUCIONAL o CORPORATIVO o el que haga sus veces",'PLAN ESTRATÉGICO'!K13))</f>
        <v/>
      </c>
      <c r="I11" s="1031"/>
      <c r="L11" s="621"/>
      <c r="M11" s="621"/>
      <c r="O11" s="621"/>
      <c r="P11" s="621"/>
      <c r="Q11" s="621"/>
      <c r="R11" s="621"/>
      <c r="S11" s="621"/>
      <c r="T11" s="621"/>
      <c r="U11" s="621"/>
      <c r="V11" s="304"/>
      <c r="W11" s="621"/>
      <c r="X11" s="1034"/>
    </row>
    <row r="12" spans="1:24" s="30" customFormat="1" ht="33" customHeight="1" thickBot="1" x14ac:dyDescent="0.3">
      <c r="B12" s="2331"/>
      <c r="D12" s="2333"/>
      <c r="E12" s="1040" t="str">
        <f>IF(D11="PLANES Y PROYECTOS","",IF(D11="PLAN ESTRATEGICO INSTITUCIONAL o CORPORATIVO o el que haga sus veces",""))</f>
        <v/>
      </c>
      <c r="F12" s="1040"/>
      <c r="G12" s="1040"/>
      <c r="H12" s="1041" t="str">
        <f>IF(D11="PLANES Y PROYECTOS","",IF(D11="PLAN ESTRATEGICO INSTITUCIONAL o CORPORATIVO o el que haga sus veces",'PLAN ESTRATÉGICO'!K14))</f>
        <v/>
      </c>
      <c r="I12" s="1032"/>
      <c r="J12" s="1031"/>
      <c r="M12" s="621"/>
      <c r="P12" s="621"/>
      <c r="Q12" s="621"/>
      <c r="R12" s="621"/>
      <c r="S12" s="621"/>
      <c r="T12" s="621"/>
      <c r="U12" s="621"/>
      <c r="V12" s="304"/>
      <c r="W12" s="621"/>
      <c r="X12" s="1034"/>
    </row>
    <row r="13" spans="1:24" s="30" customFormat="1" ht="16.2" thickTop="1" x14ac:dyDescent="0.25">
      <c r="B13" s="1037"/>
      <c r="C13" s="1038"/>
      <c r="D13" s="1038"/>
      <c r="E13" s="1039"/>
      <c r="F13" s="1039"/>
      <c r="G13" s="1039"/>
      <c r="H13" s="51"/>
      <c r="I13" s="1031"/>
      <c r="K13" s="621"/>
      <c r="L13" s="621"/>
      <c r="M13" s="621"/>
      <c r="N13" s="621"/>
      <c r="O13" s="621"/>
      <c r="P13" s="621"/>
      <c r="Q13" s="621"/>
      <c r="R13" s="621"/>
      <c r="S13" s="621"/>
      <c r="T13" s="621"/>
      <c r="U13" s="621"/>
      <c r="V13" s="304"/>
      <c r="W13" s="1034"/>
    </row>
    <row r="14" spans="1:24" ht="24" customHeight="1" x14ac:dyDescent="0.25">
      <c r="B14" s="2326" t="s">
        <v>1677</v>
      </c>
      <c r="C14" s="2326"/>
      <c r="D14" s="2326"/>
      <c r="E14" s="2326"/>
      <c r="F14" s="2326"/>
      <c r="G14" s="2326"/>
      <c r="H14" s="2326"/>
      <c r="I14" s="2326"/>
      <c r="J14" s="2326"/>
      <c r="K14" s="2326"/>
      <c r="L14" s="2326"/>
      <c r="M14" s="2326"/>
      <c r="N14" s="2326"/>
      <c r="O14" s="2326"/>
      <c r="P14" s="2326"/>
      <c r="Q14" s="2326"/>
      <c r="R14" s="2326"/>
      <c r="S14" s="2326"/>
      <c r="T14" s="2326"/>
      <c r="U14" s="2326"/>
      <c r="V14" s="2326"/>
      <c r="W14" s="2326"/>
    </row>
    <row r="15" spans="1:24" s="1043" customFormat="1" ht="16.5" customHeight="1" x14ac:dyDescent="0.25">
      <c r="B15" s="1044"/>
      <c r="C15" s="1044"/>
      <c r="D15" s="1044"/>
      <c r="E15" s="1044"/>
      <c r="F15" s="1045"/>
      <c r="G15" s="1045"/>
      <c r="H15" s="1031"/>
      <c r="I15" s="1031"/>
      <c r="J15" s="1045"/>
      <c r="K15" s="1045"/>
      <c r="L15" s="1045"/>
      <c r="M15" s="1045"/>
      <c r="N15" s="1045"/>
      <c r="O15" s="1045"/>
      <c r="P15" s="1045"/>
      <c r="Q15" s="1045"/>
      <c r="R15" s="1045"/>
      <c r="S15" s="1045"/>
      <c r="T15" s="1045"/>
      <c r="U15" s="1045"/>
      <c r="V15" s="1045"/>
      <c r="W15" s="1045"/>
    </row>
    <row r="16" spans="1:24" ht="15" customHeight="1" x14ac:dyDescent="0.25">
      <c r="B16" s="2342" t="str">
        <f>IF(D11="PLANES Y PROYECTOS","PLANES Y  PROYECTOS",IF(D11="PLAN ESTRATEGICO INSTITUCIONAL o CORPORATIVO o el que haga sus veces","No Aplica"))</f>
        <v>PLANES Y  PROYECTOS</v>
      </c>
      <c r="C16" s="2342" t="str">
        <f>IF(D11="PLANES Y PROYECTOS","Nombre del Programa ",IF(D11="PLAN ESTRATEGICO INSTITUCIONAL o CORPORATIVO o el que haga sus veces","No Aplica"))</f>
        <v xml:space="preserve">Nombre del Programa </v>
      </c>
      <c r="D16" s="2362" t="str">
        <f>IF(D11="PLANES Y PROYECTOS","Proyecto ",IF(D11="PLAN ESTRATEGICO INSTITUCIONAL o CORPORATIVO o el que haga sus veces","No Aplica"))</f>
        <v xml:space="preserve">Proyecto </v>
      </c>
      <c r="E16" s="2342" t="str">
        <f>IF(D11="PLANES Y PROYECTOS","Meta producto del PDT (Meta física) ",IF(D11="PLAN ESTRATEGICO INSTITUCIONAL o CORPORATIVO o el que haga sus veces","No Aplica"))</f>
        <v xml:space="preserve">Meta producto del PDT (Meta física) </v>
      </c>
      <c r="F16" s="2342" t="s">
        <v>1649</v>
      </c>
      <c r="G16" s="2342" t="s">
        <v>1659</v>
      </c>
      <c r="H16" s="2344" t="s">
        <v>1652</v>
      </c>
      <c r="I16" s="2325">
        <f>IF(D11="PLANES Y PROYECTOS",AVERAGEIF(H25:H450,"&gt;0",J25:J450)/100,"No Aplica")</f>
        <v>0.85043799337916981</v>
      </c>
      <c r="J16" s="2325"/>
      <c r="K16" s="2345" t="s">
        <v>1652</v>
      </c>
      <c r="L16" s="2325">
        <f>IF(D11="PLANES Y PROYECTOS",+AVERAGE(L21:V21),"No Aplica")</f>
        <v>0.9019185497792831</v>
      </c>
      <c r="M16" s="2325"/>
      <c r="N16" s="621"/>
      <c r="O16" s="2330" t="s">
        <v>1660</v>
      </c>
      <c r="P16" s="2330"/>
      <c r="Q16" s="2330"/>
      <c r="R16" s="621"/>
      <c r="S16" s="2330" t="s">
        <v>1671</v>
      </c>
      <c r="T16" s="2330"/>
      <c r="U16" s="2330"/>
      <c r="V16" s="2330"/>
      <c r="W16" s="1042"/>
    </row>
    <row r="17" spans="2:43" s="1043" customFormat="1" ht="15.75" customHeight="1" x14ac:dyDescent="0.25">
      <c r="B17" s="2342"/>
      <c r="C17" s="2342"/>
      <c r="D17" s="2362"/>
      <c r="E17" s="2342"/>
      <c r="F17" s="2342"/>
      <c r="G17" s="2342"/>
      <c r="H17" s="2344"/>
      <c r="I17" s="2325"/>
      <c r="J17" s="2325"/>
      <c r="K17" s="2347"/>
      <c r="L17" s="2325"/>
      <c r="M17" s="2325"/>
      <c r="N17" s="621"/>
      <c r="O17" s="1123" t="s">
        <v>1661</v>
      </c>
      <c r="P17" s="1124" t="s">
        <v>1665</v>
      </c>
      <c r="Q17" s="1124" t="s">
        <v>1666</v>
      </c>
      <c r="R17" s="621"/>
      <c r="S17" s="1121" t="s">
        <v>1667</v>
      </c>
      <c r="T17" s="1121" t="s">
        <v>1669</v>
      </c>
      <c r="U17" s="1121" t="s">
        <v>1668</v>
      </c>
      <c r="V17" s="1121" t="s">
        <v>1670</v>
      </c>
    </row>
    <row r="18" spans="2:43" s="1043" customFormat="1" ht="17.25" customHeight="1" x14ac:dyDescent="0.25">
      <c r="B18" s="2342"/>
      <c r="C18" s="2342"/>
      <c r="D18" s="2362"/>
      <c r="E18" s="2342"/>
      <c r="F18" s="2342"/>
      <c r="G18" s="2342"/>
      <c r="H18" s="1046" t="s">
        <v>1658</v>
      </c>
      <c r="I18" s="2325" t="str">
        <f>IF(I16="No Aplica","No Aplica",(IF(I16&gt;=75%,"EFICAZ","INEFICAZ")))</f>
        <v>EFICAZ</v>
      </c>
      <c r="J18" s="2325"/>
      <c r="K18" s="1046" t="s">
        <v>1658</v>
      </c>
      <c r="L18" s="2325" t="str">
        <f>IF(L16="No Aplica","No Aplica",(IF(L16&gt;=75%,"EFICIENTE","INEFICIENTE")))</f>
        <v>EFICIENTE</v>
      </c>
      <c r="M18" s="2325"/>
      <c r="N18" s="621"/>
      <c r="O18" s="1125" t="s">
        <v>1663</v>
      </c>
      <c r="P18" s="1126">
        <f>IFERROR(AVERAGEIF($G$25:$G$450,"*Si*",J25:J450),100)</f>
        <v>100</v>
      </c>
      <c r="Q18" s="1127" t="str">
        <f>IF(P18="No Auditado","No Auditado",(IF(P18&gt;=75,"EFICAZ","INEFICAZ")))</f>
        <v>EFICAZ</v>
      </c>
      <c r="R18" s="772"/>
      <c r="S18" s="1122">
        <f>IFERROR(AVERAGEIF($G$25:$G$450,"*Si*",M25:M450),"No Auditado")</f>
        <v>80</v>
      </c>
      <c r="T18" s="1122">
        <f>IFERROR(AVERAGEIF($G$25:$G$450,"*Si*",P25:P450),"No Auditado")</f>
        <v>80</v>
      </c>
      <c r="U18" s="1122">
        <f>IFERROR(AVERAGEIF($G$25:$G$450,"*Si*",S25:S450),"No Auditado")</f>
        <v>90</v>
      </c>
      <c r="V18" s="1122">
        <f>IFERROR(AVERAGEIF($G$25:$G$450,"*Si*",V25:V450),"No Auditado")</f>
        <v>75</v>
      </c>
    </row>
    <row r="19" spans="2:43" s="1043" customFormat="1" ht="14.25" customHeight="1" x14ac:dyDescent="0.25">
      <c r="B19" s="2342"/>
      <c r="C19" s="2342"/>
      <c r="D19" s="2362"/>
      <c r="E19" s="2342"/>
      <c r="F19" s="2342"/>
      <c r="G19" s="2342"/>
      <c r="H19" s="2345" t="s">
        <v>1657</v>
      </c>
      <c r="I19" s="2348" t="str">
        <f>IF(D11="PLANES Y PROYECTOS","EFICACIA",IF(D11="PLAN ESTRATEGICO INSTITUCIONAL o CORPORATIVO o el que haga sus veces","No Aplica"))</f>
        <v>EFICACIA</v>
      </c>
      <c r="J19" s="2349"/>
      <c r="K19" s="2354" t="s">
        <v>1657</v>
      </c>
      <c r="L19" s="2343" t="str">
        <f>IF(D11="PLANES Y PROYECTOS","EFICIENCIA",IF(D11="PLAN ESTRATEGICO INSTITUCIONAL o CORPORATIVO o el que haga sus veces","No Aplica"))</f>
        <v>EFICIENCIA</v>
      </c>
      <c r="M19" s="2343"/>
      <c r="N19" s="621"/>
      <c r="O19" s="1125" t="s">
        <v>1664</v>
      </c>
      <c r="P19" s="1126">
        <f>IFERROR(AVERAGE($S$18:$V$18),"No Auditado")</f>
        <v>81.25</v>
      </c>
      <c r="Q19" s="1127" t="str">
        <f>IF(P19="No Auditado","No Auditado",(IF(P19&gt;=75,"EFICIENTE","INEFICIENTE")))</f>
        <v>EFICIENTE</v>
      </c>
      <c r="R19" s="621"/>
      <c r="S19" s="621"/>
      <c r="T19" s="621"/>
      <c r="U19" s="621"/>
      <c r="V19" s="304"/>
    </row>
    <row r="20" spans="2:43" s="1047" customFormat="1" ht="14.25" customHeight="1" x14ac:dyDescent="0.3">
      <c r="B20" s="2342"/>
      <c r="C20" s="2342"/>
      <c r="D20" s="2362"/>
      <c r="E20" s="2342"/>
      <c r="F20" s="2342"/>
      <c r="G20" s="2342"/>
      <c r="H20" s="2346"/>
      <c r="I20" s="2350"/>
      <c r="J20" s="2351"/>
      <c r="K20" s="2355"/>
      <c r="L20" s="2343"/>
      <c r="M20" s="2343"/>
      <c r="N20" s="621"/>
      <c r="O20" s="621"/>
      <c r="P20" s="621"/>
      <c r="Q20" s="621"/>
      <c r="R20" s="621"/>
      <c r="S20" s="621"/>
      <c r="T20" s="621"/>
      <c r="U20" s="621"/>
      <c r="V20" s="304"/>
    </row>
    <row r="21" spans="2:43" s="1047" customFormat="1" ht="30" customHeight="1" x14ac:dyDescent="0.3">
      <c r="B21" s="2342"/>
      <c r="C21" s="2342"/>
      <c r="D21" s="2362"/>
      <c r="E21" s="2342"/>
      <c r="F21" s="2342"/>
      <c r="G21" s="2342"/>
      <c r="H21" s="2347"/>
      <c r="I21" s="2352"/>
      <c r="J21" s="2353"/>
      <c r="K21" s="1128" t="s">
        <v>1653</v>
      </c>
      <c r="L21" s="2368">
        <f>IF(D11="PLANES Y PROYECTOS",AVERAGE(M25:M450)/100,"No Aplica")</f>
        <v>0.94013970110461342</v>
      </c>
      <c r="M21" s="2368"/>
      <c r="N21" s="1129" t="s">
        <v>1654</v>
      </c>
      <c r="O21" s="2365">
        <f>IF(D11="PLANES Y PROYECTOS",AVERAGE(P25:P450)/100,"No Aplica")</f>
        <v>0.965448343079922</v>
      </c>
      <c r="P21" s="2366"/>
      <c r="Q21" s="1129" t="s">
        <v>1655</v>
      </c>
      <c r="R21" s="2365">
        <f>IF(D11="PLANES Y PROYECTOS",AVERAGE(S25:S450)/100,"No Aplica")</f>
        <v>0.96444444444444444</v>
      </c>
      <c r="S21" s="2366"/>
      <c r="T21" s="1129" t="s">
        <v>1656</v>
      </c>
      <c r="U21" s="2365">
        <f>IF(D11="PLANES Y PROYECTOS",AVERAGE(V25:V450)/100,"No Aplica")</f>
        <v>0.73764171048815241</v>
      </c>
      <c r="V21" s="2366"/>
    </row>
    <row r="22" spans="2:43" s="1048" customFormat="1" ht="30.75" customHeight="1" x14ac:dyDescent="0.3">
      <c r="B22" s="2342"/>
      <c r="C22" s="2342"/>
      <c r="D22" s="2362"/>
      <c r="E22" s="2342"/>
      <c r="F22" s="2342"/>
      <c r="G22" s="2342"/>
      <c r="H22" s="2367" t="str">
        <f>IF(D11="PLANES Y PROYECTOS","Cumplimiento de Metas",IF(D11="PLAN ESTRATEGICO INSTITUCIONAL o CORPORATIVO o el que haga sus veces","No Aplica"))</f>
        <v>Cumplimiento de Metas</v>
      </c>
      <c r="I22" s="2337"/>
      <c r="J22" s="2358" t="str">
        <f>IF(D11="PLANES Y PROYECTOS","Resultado %",IF(D11="PLAN ESTRATEGICO INSTITUCIONAL o CORPORATIVO o el que haga sus veces","No Aplica"))</f>
        <v>Resultado %</v>
      </c>
      <c r="K22" s="2336" t="s">
        <v>1651</v>
      </c>
      <c r="L22" s="2337"/>
      <c r="M22" s="2334" t="s">
        <v>1650</v>
      </c>
      <c r="N22" s="2336" t="str">
        <f>IF(D11="PLANES Y PROYECTOS","Cumplimiento Ejecución Presupuestal",IF(D11="PLAN ESTRATEGICO INSTITUCIONAL o CORPORATIVO o el que haga sus veces","No Aplica"))</f>
        <v>Cumplimiento Ejecución Presupuestal</v>
      </c>
      <c r="O22" s="2337"/>
      <c r="P22" s="2334" t="s">
        <v>1650</v>
      </c>
      <c r="Q22" s="2337" t="str">
        <f>IF(D11="PLANES Y PROYECTOS","Cumplimiento Cronograma",IF(D11="PLAN ESTRATEGICO INSTITUCIONAL o CORPORATIVO o el que haga sus veces","No Aplica"))</f>
        <v>Cumplimiento Cronograma</v>
      </c>
      <c r="R22" s="2337"/>
      <c r="S22" s="2334" t="str">
        <f>IF(D11="PLANES Y PROYECTOS","Resultado %",IF(D11="PLAN ESTRATEGICO INSTITUCIONAL o CORPORATIVO o el que haga sus veces","No Aplica"))</f>
        <v>Resultado %</v>
      </c>
      <c r="T22" s="2337" t="str">
        <f>IF(D11="PLANES Y PROYECTOS","Cumplimiento Giros Ejecutados",IF(D11="PLAN ESTRATEGICO INSTITUCIONAL o CORPORATIVO o el que haga sus veces","No Aplica"))</f>
        <v>Cumplimiento Giros Ejecutados</v>
      </c>
      <c r="U22" s="2337"/>
      <c r="V22" s="2363" t="str">
        <f>IF(D11="PLANES Y PROYECTOS","Resultado %",IF(D11="PLAN ESTRATEGICO INSTITUCIONAL o CORPORATIVO o el que haga sus veces","No Aplica"))</f>
        <v>Resultado %</v>
      </c>
    </row>
    <row r="23" spans="2:43" s="1048" customFormat="1" ht="39.75" customHeight="1" x14ac:dyDescent="0.3">
      <c r="B23" s="2342"/>
      <c r="C23" s="2342"/>
      <c r="D23" s="2362"/>
      <c r="E23" s="2342"/>
      <c r="F23" s="2342"/>
      <c r="G23" s="2342"/>
      <c r="H23" s="2338" t="str">
        <f>IF(D11="PLANES Y PROYECTOS","Meta fisica programada vigencia evaluada",IF(D11="PLAN ESTRATEGICO INSTITUCIONAL o CORPORATIVO o el que haga sus veces","No Aplica"))</f>
        <v>Meta fisica programada vigencia evaluada</v>
      </c>
      <c r="I23" s="2338" t="str">
        <f>IF(D11="PLANES Y PROYECTOS","Meta fisica programada cumplida",IF(D11="PLAN ESTRATEGICO INSTITUCIONAL o CORPORATIVO o el que haga sus veces","No Aplica"))</f>
        <v>Meta fisica programada cumplida</v>
      </c>
      <c r="J23" s="2358"/>
      <c r="K23" s="2338" t="s">
        <v>1754</v>
      </c>
      <c r="L23" s="2338" t="s">
        <v>1755</v>
      </c>
      <c r="M23" s="2334"/>
      <c r="N23" s="2356" t="str">
        <f>IF(D11="PLANES Y PROYECTOS","Presupuesto programado",IF(D11="PLAN ESTRATEGICO INSTITUCIONAL o CORPORATIVO o el que haga sus veces","No Aplica"))</f>
        <v>Presupuesto programado</v>
      </c>
      <c r="O23" s="2356" t="str">
        <f>IF(D11="PLANES Y PROYECTOS","Presupuesto Ejecutado",IF(D11="PLAN ESTRATEGICO INSTITUCIONAL o CORPORATIVO o el que haga sus veces","No Aplica"))</f>
        <v>Presupuesto Ejecutado</v>
      </c>
      <c r="P23" s="2334"/>
      <c r="Q23" s="2356" t="str">
        <f>IF(D11="PLANES Y PROYECTOS","Plazo de ejecución en días calendario ",IF(D11="PLAN ESTRATEGICO INSTITUCIONAL o CORPORATIVO o el que haga sus veces","No Aplica"))</f>
        <v xml:space="preserve">Plazo de ejecución en días calendario </v>
      </c>
      <c r="R23" s="2356" t="str">
        <f>IF(D11="PLANES Y PROYECTOS","Días calendario de ejecución",IF(D11="PLAN ESTRATEGICO INSTITUCIONAL o CORPORATIVO o el que haga sus veces","No Aplica"))</f>
        <v>Días calendario de ejecución</v>
      </c>
      <c r="S23" s="2334"/>
      <c r="T23" s="2356" t="str">
        <f>IF(D11="PLANES Y PROYECTOS","Presupuesto Ejecutado",IF(D11="PLAN ESTRATEGICO INSTITUCIONAL o CORPORATIVO o el que haga sus veces","No Aplica"))</f>
        <v>Presupuesto Ejecutado</v>
      </c>
      <c r="U23" s="2356" t="str">
        <f>IF(D11="PLANES Y PROYECTOS","Giros Ejecutados",IF(D11="PLAN ESTRATEGICO INSTITUCIONAL o CORPORATIVO o el que haga sus veces","No Aplica"))</f>
        <v>Giros Ejecutados</v>
      </c>
      <c r="V23" s="2363"/>
      <c r="W23" s="1049"/>
    </row>
    <row r="24" spans="2:43" s="1048" customFormat="1" ht="17.25" customHeight="1" x14ac:dyDescent="0.3">
      <c r="B24" s="2342"/>
      <c r="C24" s="2342"/>
      <c r="D24" s="2362"/>
      <c r="E24" s="2342"/>
      <c r="F24" s="2342"/>
      <c r="G24" s="2342"/>
      <c r="H24" s="2339"/>
      <c r="I24" s="2339"/>
      <c r="J24" s="2359"/>
      <c r="K24" s="2339"/>
      <c r="L24" s="2339"/>
      <c r="M24" s="2335"/>
      <c r="N24" s="2357"/>
      <c r="O24" s="2357"/>
      <c r="P24" s="2335"/>
      <c r="Q24" s="2357"/>
      <c r="R24" s="2357"/>
      <c r="S24" s="2335"/>
      <c r="T24" s="2357"/>
      <c r="U24" s="2357"/>
      <c r="V24" s="2364"/>
    </row>
    <row r="25" spans="2:43" x14ac:dyDescent="0.25">
      <c r="B25" s="1603" t="s">
        <v>882</v>
      </c>
      <c r="C25" s="1517" t="s">
        <v>883</v>
      </c>
      <c r="D25" s="1052" t="s">
        <v>884</v>
      </c>
      <c r="E25" s="1518" t="s">
        <v>885</v>
      </c>
      <c r="F25" s="1052" t="s">
        <v>1673</v>
      </c>
      <c r="G25" s="1052" t="s">
        <v>1639</v>
      </c>
      <c r="H25" s="1053">
        <v>5000000</v>
      </c>
      <c r="I25" s="1053">
        <v>5000001</v>
      </c>
      <c r="J25" s="1114">
        <f>IF(AND(H25=0,I25=0),"",IF(I25&lt;&gt;0,IF(I25&gt;H25,100,I25/H25*100),0))</f>
        <v>100</v>
      </c>
      <c r="K25" s="1054">
        <v>5000000</v>
      </c>
      <c r="L25" s="1054">
        <v>4000000</v>
      </c>
      <c r="M25" s="1115">
        <f>IF(AND(K25=0,L25=0),"",IF(L25&lt;&gt;0,IF(L25&gt;K25,100,L25/K25*100),0))</f>
        <v>80</v>
      </c>
      <c r="N25" s="1054">
        <v>5000000</v>
      </c>
      <c r="O25" s="1054">
        <v>4000000</v>
      </c>
      <c r="P25" s="1115">
        <f>IF(AND(N25=0,O25=0),"",IF(O25&lt;&gt;0,IF(O25&gt;N25,100,O25/N25*100),0))</f>
        <v>80</v>
      </c>
      <c r="Q25" s="1055">
        <v>500</v>
      </c>
      <c r="R25" s="1055">
        <v>510</v>
      </c>
      <c r="S25" s="1115">
        <f>IF(AND(Q25=0,R25=0),"",IF(R25&lt;&gt;0,IF(R25&lt;=Q25,100,100-(R25-Q25)),0))</f>
        <v>90</v>
      </c>
      <c r="T25" s="1054">
        <f>+O25</f>
        <v>4000000</v>
      </c>
      <c r="U25" s="1054">
        <v>3000000</v>
      </c>
      <c r="V25" s="1253">
        <f>IF(AND(T25=0,U25=0),"",IF(U25&lt;&gt;0,IF(U25&gt;T25,100,U25/T25*100),0))</f>
        <v>75</v>
      </c>
      <c r="W25" s="1048"/>
      <c r="X25" s="1048"/>
      <c r="Y25" s="1048"/>
      <c r="Z25" s="1048"/>
      <c r="AA25" s="1048"/>
      <c r="AB25" s="1048"/>
      <c r="AC25" s="1048"/>
      <c r="AD25" s="1048"/>
      <c r="AE25" s="1048"/>
      <c r="AF25" s="1048"/>
      <c r="AG25" s="1048"/>
      <c r="AH25" s="1048"/>
      <c r="AI25" s="1048"/>
      <c r="AJ25" s="1048"/>
      <c r="AK25" s="1048"/>
      <c r="AL25" s="1048"/>
      <c r="AM25" s="1048"/>
      <c r="AN25" s="1048"/>
      <c r="AO25" s="1048"/>
      <c r="AP25" s="1048"/>
      <c r="AQ25" s="1048"/>
    </row>
    <row r="26" spans="2:43" x14ac:dyDescent="0.25">
      <c r="B26" s="1050" t="s">
        <v>886</v>
      </c>
      <c r="C26" s="1051" t="s">
        <v>883</v>
      </c>
      <c r="D26" s="1052" t="s">
        <v>884</v>
      </c>
      <c r="E26" s="1052" t="s">
        <v>887</v>
      </c>
      <c r="F26" s="1052"/>
      <c r="G26" s="1052" t="s">
        <v>1640</v>
      </c>
      <c r="H26" s="1053">
        <v>3927</v>
      </c>
      <c r="I26" s="1053">
        <v>3000</v>
      </c>
      <c r="J26" s="1114">
        <f t="shared" ref="J26:J89" si="0">IF(AND(H26=0,I26=0),"",IF(I26&lt;&gt;0,IF(I26&gt;H26,100,I26/H26*100),0))</f>
        <v>76.39419404125286</v>
      </c>
      <c r="K26" s="1054">
        <v>50000000</v>
      </c>
      <c r="L26" s="1054">
        <v>50000000</v>
      </c>
      <c r="M26" s="1115">
        <f t="shared" ref="M26:M89" si="1">IF(AND(K26=0,L26=0),"",IF(L26&lt;&gt;0,IF(L26&gt;K26,100,L26/K26*100),0))</f>
        <v>100</v>
      </c>
      <c r="N26" s="1054">
        <v>50000000</v>
      </c>
      <c r="O26" s="1054">
        <v>50000000</v>
      </c>
      <c r="P26" s="1115">
        <f t="shared" ref="P26:P89" si="2">IF(AND(N26=0,O26=0),"",IF(O26&lt;&gt;0,IF(O26&gt;N26,100,O26/N26*100),0))</f>
        <v>100</v>
      </c>
      <c r="Q26" s="1055">
        <v>50</v>
      </c>
      <c r="R26" s="1055">
        <v>50</v>
      </c>
      <c r="S26" s="1115">
        <f t="shared" ref="S26:S89" si="3">IF(AND(Q26=0,R26=0),"",IF(R26&lt;&gt;0,IF(R26&lt;=Q26,100,100-(R26-Q26)),0))</f>
        <v>100</v>
      </c>
      <c r="T26" s="1054">
        <f t="shared" ref="T26:T33" si="4">+O26</f>
        <v>50000000</v>
      </c>
      <c r="U26" s="1054">
        <v>0</v>
      </c>
      <c r="V26" s="1253">
        <f t="shared" ref="V26:V89" si="5">IF(AND(T26=0,U26=0),"",IF(U26&lt;&gt;0,IF(U26&gt;T26,100,U26/T26*100),0))</f>
        <v>0</v>
      </c>
      <c r="W26" s="1056"/>
      <c r="X26" s="1048"/>
      <c r="Y26" s="1048"/>
      <c r="Z26" s="1048"/>
      <c r="AA26" s="1048"/>
      <c r="AB26" s="1048"/>
      <c r="AC26" s="1048"/>
      <c r="AD26" s="1048"/>
      <c r="AE26" s="1048"/>
      <c r="AF26" s="1048"/>
      <c r="AG26" s="1048"/>
      <c r="AH26" s="1048"/>
      <c r="AI26" s="1048"/>
      <c r="AJ26" s="1048"/>
      <c r="AK26" s="1048"/>
      <c r="AL26" s="1048"/>
      <c r="AM26" s="1048"/>
      <c r="AN26" s="1048"/>
      <c r="AO26" s="1048"/>
      <c r="AP26" s="1048"/>
      <c r="AQ26" s="1048"/>
    </row>
    <row r="27" spans="2:43" x14ac:dyDescent="0.25">
      <c r="B27" s="1050" t="s">
        <v>888</v>
      </c>
      <c r="C27" s="1051" t="s">
        <v>883</v>
      </c>
      <c r="D27" s="1052" t="s">
        <v>884</v>
      </c>
      <c r="E27" s="1052" t="s">
        <v>889</v>
      </c>
      <c r="F27" s="1052"/>
      <c r="G27" s="1052" t="s">
        <v>1640</v>
      </c>
      <c r="H27" s="1053">
        <v>1000</v>
      </c>
      <c r="I27" s="1053">
        <v>540</v>
      </c>
      <c r="J27" s="1114">
        <f t="shared" si="0"/>
        <v>54</v>
      </c>
      <c r="K27" s="1054">
        <v>60000000</v>
      </c>
      <c r="L27" s="1054">
        <v>45000000</v>
      </c>
      <c r="M27" s="1115">
        <f t="shared" si="1"/>
        <v>75</v>
      </c>
      <c r="N27" s="1054">
        <v>60000000</v>
      </c>
      <c r="O27" s="1054">
        <v>60000000</v>
      </c>
      <c r="P27" s="1115">
        <f t="shared" si="2"/>
        <v>100</v>
      </c>
      <c r="Q27" s="1055">
        <v>52</v>
      </c>
      <c r="R27" s="1055">
        <v>54</v>
      </c>
      <c r="S27" s="1115">
        <f t="shared" si="3"/>
        <v>98</v>
      </c>
      <c r="T27" s="1054">
        <f t="shared" si="4"/>
        <v>60000000</v>
      </c>
      <c r="U27" s="1054">
        <v>55000000</v>
      </c>
      <c r="V27" s="1253">
        <f t="shared" si="5"/>
        <v>91.666666666666657</v>
      </c>
      <c r="W27" s="1048"/>
      <c r="X27" s="1048"/>
      <c r="Y27" s="1048"/>
      <c r="Z27" s="1048"/>
      <c r="AA27" s="1048"/>
      <c r="AB27" s="1048"/>
      <c r="AC27" s="1048"/>
      <c r="AD27" s="1048"/>
      <c r="AE27" s="1048"/>
      <c r="AF27" s="1048"/>
      <c r="AG27" s="1048"/>
      <c r="AH27" s="1048"/>
      <c r="AI27" s="1048"/>
      <c r="AJ27" s="1048"/>
      <c r="AK27" s="1048"/>
      <c r="AL27" s="1048"/>
      <c r="AM27" s="1048"/>
      <c r="AN27" s="1048"/>
      <c r="AO27" s="1048"/>
      <c r="AP27" s="1048"/>
      <c r="AQ27" s="1048"/>
    </row>
    <row r="28" spans="2:43" x14ac:dyDescent="0.25">
      <c r="B28" s="1050" t="s">
        <v>888</v>
      </c>
      <c r="C28" s="1051" t="s">
        <v>883</v>
      </c>
      <c r="D28" s="1052" t="s">
        <v>890</v>
      </c>
      <c r="E28" s="1052" t="s">
        <v>885</v>
      </c>
      <c r="F28" s="1052"/>
      <c r="G28" s="1052" t="s">
        <v>1640</v>
      </c>
      <c r="H28" s="1053">
        <v>50000</v>
      </c>
      <c r="I28" s="1053">
        <v>50000</v>
      </c>
      <c r="J28" s="1114">
        <f t="shared" si="0"/>
        <v>100</v>
      </c>
      <c r="K28" s="1054">
        <v>25000000</v>
      </c>
      <c r="L28" s="1054">
        <v>25000000</v>
      </c>
      <c r="M28" s="1115">
        <f t="shared" si="1"/>
        <v>100</v>
      </c>
      <c r="N28" s="1054">
        <v>25000000</v>
      </c>
      <c r="O28" s="1054">
        <v>25000000</v>
      </c>
      <c r="P28" s="1115">
        <f t="shared" si="2"/>
        <v>100</v>
      </c>
      <c r="Q28" s="1055">
        <v>100</v>
      </c>
      <c r="R28" s="1055">
        <v>80</v>
      </c>
      <c r="S28" s="1115">
        <f t="shared" si="3"/>
        <v>100</v>
      </c>
      <c r="T28" s="1054">
        <f t="shared" si="4"/>
        <v>25000000</v>
      </c>
      <c r="U28" s="1054">
        <v>25000000</v>
      </c>
      <c r="V28" s="1253">
        <f t="shared" si="5"/>
        <v>100</v>
      </c>
      <c r="W28" s="1048"/>
      <c r="X28" s="1048"/>
      <c r="Y28" s="1048"/>
      <c r="Z28" s="1048"/>
      <c r="AA28" s="1048"/>
      <c r="AB28" s="1048"/>
      <c r="AC28" s="1048"/>
      <c r="AD28" s="1048"/>
      <c r="AE28" s="1048"/>
      <c r="AF28" s="1048"/>
      <c r="AG28" s="1048"/>
      <c r="AH28" s="1048"/>
      <c r="AI28" s="1048"/>
      <c r="AJ28" s="1048"/>
      <c r="AK28" s="1048"/>
      <c r="AL28" s="1048"/>
      <c r="AM28" s="1048"/>
      <c r="AN28" s="1048"/>
      <c r="AO28" s="1048"/>
      <c r="AP28" s="1048"/>
      <c r="AQ28" s="1048"/>
    </row>
    <row r="29" spans="2:43" x14ac:dyDescent="0.25">
      <c r="B29" s="1050" t="s">
        <v>888</v>
      </c>
      <c r="C29" s="1057" t="s">
        <v>891</v>
      </c>
      <c r="D29" s="1052" t="s">
        <v>890</v>
      </c>
      <c r="E29" s="1058" t="s">
        <v>892</v>
      </c>
      <c r="F29" s="1058"/>
      <c r="G29" s="1052" t="s">
        <v>1640</v>
      </c>
      <c r="H29" s="1053">
        <v>25000</v>
      </c>
      <c r="I29" s="1053">
        <v>25000</v>
      </c>
      <c r="J29" s="1114">
        <f t="shared" si="0"/>
        <v>100</v>
      </c>
      <c r="K29" s="1054">
        <v>45000000</v>
      </c>
      <c r="L29" s="1054">
        <v>45000000</v>
      </c>
      <c r="M29" s="1115">
        <f t="shared" si="1"/>
        <v>100</v>
      </c>
      <c r="N29" s="1054">
        <v>45000000</v>
      </c>
      <c r="O29" s="1054">
        <v>45000000</v>
      </c>
      <c r="P29" s="1115">
        <f t="shared" si="2"/>
        <v>100</v>
      </c>
      <c r="Q29" s="1055">
        <v>25</v>
      </c>
      <c r="R29" s="1055">
        <v>20</v>
      </c>
      <c r="S29" s="1115">
        <f t="shared" si="3"/>
        <v>100</v>
      </c>
      <c r="T29" s="1054">
        <f t="shared" si="4"/>
        <v>45000000</v>
      </c>
      <c r="U29" s="1054">
        <v>45000000</v>
      </c>
      <c r="V29" s="1253">
        <f t="shared" si="5"/>
        <v>100</v>
      </c>
      <c r="W29" s="1048"/>
      <c r="X29" s="1048"/>
      <c r="Y29" s="1048"/>
      <c r="Z29" s="1048"/>
      <c r="AA29" s="1048"/>
      <c r="AB29" s="1048"/>
      <c r="AC29" s="1048"/>
      <c r="AD29" s="1048"/>
      <c r="AE29" s="1048"/>
      <c r="AF29" s="1048"/>
      <c r="AG29" s="1048"/>
      <c r="AH29" s="1048"/>
      <c r="AI29" s="1048"/>
      <c r="AJ29" s="1048"/>
      <c r="AK29" s="1048"/>
      <c r="AL29" s="1048"/>
      <c r="AM29" s="1048"/>
      <c r="AN29" s="1048"/>
      <c r="AO29" s="1048"/>
      <c r="AP29" s="1048"/>
      <c r="AQ29" s="1048"/>
    </row>
    <row r="30" spans="2:43" x14ac:dyDescent="0.25">
      <c r="B30" s="1050" t="s">
        <v>888</v>
      </c>
      <c r="C30" s="1057" t="s">
        <v>891</v>
      </c>
      <c r="D30" s="1058" t="s">
        <v>893</v>
      </c>
      <c r="E30" s="1058" t="s">
        <v>887</v>
      </c>
      <c r="F30" s="1058"/>
      <c r="G30" s="1052" t="s">
        <v>1640</v>
      </c>
      <c r="H30" s="1053">
        <v>10000</v>
      </c>
      <c r="I30" s="1053">
        <v>8000</v>
      </c>
      <c r="J30" s="1114">
        <f t="shared" si="0"/>
        <v>80</v>
      </c>
      <c r="K30" s="1054">
        <v>80000000</v>
      </c>
      <c r="L30" s="1054">
        <v>78000000</v>
      </c>
      <c r="M30" s="1115">
        <f t="shared" si="1"/>
        <v>97.5</v>
      </c>
      <c r="N30" s="1054">
        <v>80000000</v>
      </c>
      <c r="O30" s="1054">
        <v>78000000</v>
      </c>
      <c r="P30" s="1115">
        <f t="shared" si="2"/>
        <v>97.5</v>
      </c>
      <c r="Q30" s="1055">
        <v>40</v>
      </c>
      <c r="R30" s="1055">
        <v>41</v>
      </c>
      <c r="S30" s="1115">
        <f t="shared" si="3"/>
        <v>99</v>
      </c>
      <c r="T30" s="1054">
        <f t="shared" si="4"/>
        <v>78000000</v>
      </c>
      <c r="U30" s="1054">
        <v>65000000</v>
      </c>
      <c r="V30" s="1253">
        <f t="shared" si="5"/>
        <v>83.333333333333343</v>
      </c>
      <c r="W30" s="1048"/>
      <c r="X30" s="1048"/>
      <c r="Y30" s="1048"/>
      <c r="Z30" s="1048"/>
      <c r="AA30" s="1048"/>
      <c r="AB30" s="1048"/>
      <c r="AC30" s="1048"/>
      <c r="AD30" s="1048"/>
      <c r="AE30" s="1048"/>
      <c r="AF30" s="1048"/>
      <c r="AG30" s="1048"/>
      <c r="AH30" s="1048"/>
      <c r="AI30" s="1048"/>
      <c r="AJ30" s="1048"/>
      <c r="AK30" s="1048"/>
      <c r="AL30" s="1048"/>
      <c r="AM30" s="1048"/>
      <c r="AN30" s="1048"/>
      <c r="AO30" s="1048"/>
      <c r="AP30" s="1048"/>
      <c r="AQ30" s="1048"/>
    </row>
    <row r="31" spans="2:43" x14ac:dyDescent="0.25">
      <c r="B31" s="1059" t="s">
        <v>894</v>
      </c>
      <c r="C31" s="1060" t="s">
        <v>883</v>
      </c>
      <c r="D31" s="1061" t="s">
        <v>895</v>
      </c>
      <c r="E31" s="1061" t="s">
        <v>885</v>
      </c>
      <c r="F31" s="1061"/>
      <c r="G31" s="1052" t="s">
        <v>1640</v>
      </c>
      <c r="H31" s="1053">
        <v>2000</v>
      </c>
      <c r="I31" s="1053">
        <v>1500</v>
      </c>
      <c r="J31" s="1114">
        <f t="shared" si="0"/>
        <v>75</v>
      </c>
      <c r="K31" s="1054">
        <v>90000000</v>
      </c>
      <c r="L31" s="1054">
        <v>89000000</v>
      </c>
      <c r="M31" s="1115">
        <f t="shared" si="1"/>
        <v>98.888888888888886</v>
      </c>
      <c r="N31" s="1054">
        <v>90000000</v>
      </c>
      <c r="O31" s="1054">
        <v>89000000</v>
      </c>
      <c r="P31" s="1115">
        <f t="shared" si="2"/>
        <v>98.888888888888886</v>
      </c>
      <c r="Q31" s="1055">
        <v>70</v>
      </c>
      <c r="R31" s="1055">
        <v>65</v>
      </c>
      <c r="S31" s="1115">
        <f t="shared" si="3"/>
        <v>100</v>
      </c>
      <c r="T31" s="1054">
        <f t="shared" si="4"/>
        <v>89000000</v>
      </c>
      <c r="U31" s="1054">
        <v>80000000</v>
      </c>
      <c r="V31" s="1253">
        <f t="shared" si="5"/>
        <v>89.887640449438194</v>
      </c>
      <c r="W31" s="1048"/>
      <c r="X31" s="1048"/>
      <c r="Y31" s="1048"/>
      <c r="Z31" s="1048"/>
      <c r="AA31" s="1048"/>
      <c r="AB31" s="1048"/>
      <c r="AC31" s="1048"/>
      <c r="AD31" s="1048"/>
      <c r="AE31" s="1048"/>
      <c r="AF31" s="1048"/>
      <c r="AG31" s="1048"/>
      <c r="AH31" s="1048"/>
      <c r="AI31" s="1048"/>
      <c r="AJ31" s="1048"/>
      <c r="AK31" s="1048"/>
      <c r="AL31" s="1048"/>
      <c r="AM31" s="1048"/>
      <c r="AN31" s="1048"/>
      <c r="AO31" s="1048"/>
      <c r="AP31" s="1048"/>
      <c r="AQ31" s="1048"/>
    </row>
    <row r="32" spans="2:43" x14ac:dyDescent="0.25">
      <c r="B32" s="1059" t="s">
        <v>894</v>
      </c>
      <c r="C32" s="1060" t="s">
        <v>883</v>
      </c>
      <c r="D32" s="1061" t="s">
        <v>896</v>
      </c>
      <c r="E32" s="1061" t="s">
        <v>887</v>
      </c>
      <c r="F32" s="1061"/>
      <c r="G32" s="1052" t="s">
        <v>1640</v>
      </c>
      <c r="H32" s="1053">
        <v>1000</v>
      </c>
      <c r="I32" s="1053">
        <v>800</v>
      </c>
      <c r="J32" s="1114">
        <f t="shared" si="0"/>
        <v>80</v>
      </c>
      <c r="K32" s="1054">
        <v>95000000</v>
      </c>
      <c r="L32" s="1054">
        <v>90000000</v>
      </c>
      <c r="M32" s="1115">
        <f t="shared" si="1"/>
        <v>94.73684210526315</v>
      </c>
      <c r="N32" s="1054">
        <v>95000000</v>
      </c>
      <c r="O32" s="1054">
        <v>90000000</v>
      </c>
      <c r="P32" s="1115">
        <f t="shared" si="2"/>
        <v>94.73684210526315</v>
      </c>
      <c r="Q32" s="1055">
        <v>100</v>
      </c>
      <c r="R32" s="1055">
        <v>110</v>
      </c>
      <c r="S32" s="1115">
        <f t="shared" si="3"/>
        <v>90</v>
      </c>
      <c r="T32" s="1054">
        <f t="shared" si="4"/>
        <v>90000000</v>
      </c>
      <c r="U32" s="1054">
        <v>40000000</v>
      </c>
      <c r="V32" s="1253">
        <f t="shared" si="5"/>
        <v>44.444444444444443</v>
      </c>
      <c r="W32" s="1048"/>
      <c r="X32" s="1048"/>
      <c r="Y32" s="1048"/>
      <c r="Z32" s="1048"/>
      <c r="AA32" s="1048"/>
      <c r="AB32" s="1048"/>
      <c r="AC32" s="1048"/>
      <c r="AD32" s="1048"/>
      <c r="AE32" s="1048"/>
      <c r="AF32" s="1048"/>
      <c r="AG32" s="1048"/>
      <c r="AH32" s="1048"/>
      <c r="AI32" s="1048"/>
      <c r="AJ32" s="1048"/>
      <c r="AK32" s="1048"/>
      <c r="AL32" s="1048"/>
      <c r="AM32" s="1048"/>
      <c r="AN32" s="1048"/>
      <c r="AO32" s="1048"/>
      <c r="AP32" s="1048"/>
      <c r="AQ32" s="1048"/>
    </row>
    <row r="33" spans="2:43" x14ac:dyDescent="0.25">
      <c r="B33" s="1059" t="s">
        <v>894</v>
      </c>
      <c r="C33" s="1062" t="s">
        <v>891</v>
      </c>
      <c r="D33" s="1063" t="s">
        <v>897</v>
      </c>
      <c r="E33" s="1063" t="s">
        <v>885</v>
      </c>
      <c r="F33" s="1063"/>
      <c r="G33" s="1052" t="s">
        <v>1640</v>
      </c>
      <c r="H33" s="1053">
        <v>500</v>
      </c>
      <c r="I33" s="1053">
        <v>500</v>
      </c>
      <c r="J33" s="1114">
        <f t="shared" si="0"/>
        <v>100</v>
      </c>
      <c r="K33" s="1054">
        <v>45000000</v>
      </c>
      <c r="L33" s="1054">
        <v>45000000</v>
      </c>
      <c r="M33" s="1115">
        <f t="shared" si="1"/>
        <v>100</v>
      </c>
      <c r="N33" s="1054">
        <v>45000000</v>
      </c>
      <c r="O33" s="1054">
        <v>44000000</v>
      </c>
      <c r="P33" s="1115">
        <f t="shared" si="2"/>
        <v>97.777777777777771</v>
      </c>
      <c r="Q33" s="1055">
        <v>80</v>
      </c>
      <c r="R33" s="1055">
        <v>89</v>
      </c>
      <c r="S33" s="1115">
        <f t="shared" si="3"/>
        <v>91</v>
      </c>
      <c r="T33" s="1054">
        <f t="shared" si="4"/>
        <v>44000000</v>
      </c>
      <c r="U33" s="1054">
        <v>35000000</v>
      </c>
      <c r="V33" s="1253">
        <f t="shared" si="5"/>
        <v>79.545454545454547</v>
      </c>
      <c r="W33" s="1048"/>
      <c r="X33" s="1048"/>
      <c r="Y33" s="1048"/>
      <c r="Z33" s="1048"/>
      <c r="AA33" s="1048"/>
      <c r="AB33" s="1048"/>
      <c r="AC33" s="1048"/>
      <c r="AD33" s="1048"/>
      <c r="AE33" s="1048"/>
      <c r="AF33" s="1048"/>
      <c r="AG33" s="1048"/>
      <c r="AH33" s="1048"/>
      <c r="AI33" s="1048"/>
      <c r="AJ33" s="1048"/>
      <c r="AK33" s="1048"/>
      <c r="AL33" s="1048"/>
      <c r="AM33" s="1048"/>
      <c r="AN33" s="1048"/>
      <c r="AO33" s="1048"/>
      <c r="AP33" s="1048"/>
      <c r="AQ33" s="1048"/>
    </row>
    <row r="34" spans="2:43" x14ac:dyDescent="0.25">
      <c r="B34" s="1064"/>
      <c r="C34" s="1065"/>
      <c r="D34" s="1064"/>
      <c r="E34" s="1066"/>
      <c r="F34" s="1066"/>
      <c r="G34" s="1052"/>
      <c r="H34" s="1053"/>
      <c r="I34" s="1053"/>
      <c r="J34" s="1114" t="str">
        <f t="shared" si="0"/>
        <v/>
      </c>
      <c r="K34" s="1054"/>
      <c r="L34" s="1054"/>
      <c r="M34" s="1115" t="str">
        <f t="shared" si="1"/>
        <v/>
      </c>
      <c r="N34" s="1054"/>
      <c r="O34" s="1054"/>
      <c r="P34" s="1115" t="str">
        <f t="shared" si="2"/>
        <v/>
      </c>
      <c r="Q34" s="1055"/>
      <c r="R34" s="1055"/>
      <c r="S34" s="1115" t="str">
        <f t="shared" si="3"/>
        <v/>
      </c>
      <c r="T34" s="1054"/>
      <c r="U34" s="1054"/>
      <c r="V34" s="1253" t="str">
        <f t="shared" si="5"/>
        <v/>
      </c>
      <c r="W34" s="1048"/>
      <c r="X34" s="1048"/>
      <c r="Y34" s="1048"/>
      <c r="Z34" s="1048"/>
      <c r="AA34" s="1048"/>
      <c r="AB34" s="1048"/>
      <c r="AC34" s="1048"/>
      <c r="AD34" s="1048"/>
      <c r="AE34" s="1048"/>
      <c r="AF34" s="1048"/>
      <c r="AG34" s="1048"/>
      <c r="AH34" s="1048"/>
      <c r="AI34" s="1048"/>
      <c r="AJ34" s="1048"/>
      <c r="AK34" s="1048"/>
      <c r="AL34" s="1048"/>
      <c r="AM34" s="1048"/>
      <c r="AN34" s="1048"/>
      <c r="AO34" s="1048"/>
      <c r="AP34" s="1048"/>
      <c r="AQ34" s="1048"/>
    </row>
    <row r="35" spans="2:43" x14ac:dyDescent="0.25">
      <c r="B35" s="1064"/>
      <c r="C35" s="1065"/>
      <c r="D35" s="1064"/>
      <c r="E35" s="1067"/>
      <c r="F35" s="1067"/>
      <c r="G35" s="1052"/>
      <c r="H35" s="1053"/>
      <c r="I35" s="1053"/>
      <c r="J35" s="1114" t="str">
        <f t="shared" si="0"/>
        <v/>
      </c>
      <c r="K35" s="1054"/>
      <c r="L35" s="1054"/>
      <c r="M35" s="1115" t="str">
        <f t="shared" si="1"/>
        <v/>
      </c>
      <c r="N35" s="1054"/>
      <c r="O35" s="1054"/>
      <c r="P35" s="1115" t="str">
        <f t="shared" si="2"/>
        <v/>
      </c>
      <c r="Q35" s="1055"/>
      <c r="R35" s="1055"/>
      <c r="S35" s="1115" t="str">
        <f t="shared" si="3"/>
        <v/>
      </c>
      <c r="T35" s="1054"/>
      <c r="U35" s="1054"/>
      <c r="V35" s="1253" t="str">
        <f t="shared" si="5"/>
        <v/>
      </c>
      <c r="W35" s="1048"/>
      <c r="X35" s="1048"/>
      <c r="Y35" s="1048"/>
      <c r="Z35" s="1048"/>
      <c r="AA35" s="1048"/>
      <c r="AB35" s="1048"/>
      <c r="AC35" s="1048"/>
      <c r="AD35" s="1048"/>
      <c r="AE35" s="1048"/>
      <c r="AF35" s="1048"/>
      <c r="AG35" s="1048"/>
      <c r="AH35" s="1048"/>
      <c r="AI35" s="1048"/>
      <c r="AJ35" s="1048"/>
      <c r="AK35" s="1048"/>
      <c r="AL35" s="1048"/>
      <c r="AM35" s="1048"/>
      <c r="AN35" s="1048"/>
      <c r="AO35" s="1048"/>
      <c r="AP35" s="1048"/>
      <c r="AQ35" s="1048"/>
    </row>
    <row r="36" spans="2:43" x14ac:dyDescent="0.25">
      <c r="B36" s="1064"/>
      <c r="C36" s="1065"/>
      <c r="D36" s="1064"/>
      <c r="E36" s="1067"/>
      <c r="F36" s="1067"/>
      <c r="G36" s="1052"/>
      <c r="H36" s="1053"/>
      <c r="I36" s="1053"/>
      <c r="J36" s="1114" t="str">
        <f t="shared" si="0"/>
        <v/>
      </c>
      <c r="K36" s="1054"/>
      <c r="L36" s="1054"/>
      <c r="M36" s="1115" t="str">
        <f t="shared" si="1"/>
        <v/>
      </c>
      <c r="N36" s="1054"/>
      <c r="O36" s="1054"/>
      <c r="P36" s="1115" t="str">
        <f t="shared" si="2"/>
        <v/>
      </c>
      <c r="Q36" s="1055"/>
      <c r="R36" s="1055"/>
      <c r="S36" s="1115" t="str">
        <f t="shared" si="3"/>
        <v/>
      </c>
      <c r="T36" s="1054"/>
      <c r="U36" s="1054"/>
      <c r="V36" s="1253" t="str">
        <f t="shared" si="5"/>
        <v/>
      </c>
      <c r="W36" s="1048"/>
      <c r="X36" s="1048"/>
      <c r="Y36" s="1048"/>
      <c r="Z36" s="1048"/>
      <c r="AA36" s="1048"/>
      <c r="AB36" s="1048"/>
      <c r="AC36" s="1048"/>
      <c r="AD36" s="1048"/>
      <c r="AE36" s="1048"/>
      <c r="AF36" s="1048"/>
      <c r="AG36" s="1048"/>
      <c r="AH36" s="1048"/>
      <c r="AI36" s="1048"/>
      <c r="AJ36" s="1048"/>
      <c r="AK36" s="1048"/>
      <c r="AL36" s="1048"/>
      <c r="AM36" s="1048"/>
      <c r="AN36" s="1048"/>
      <c r="AO36" s="1048"/>
      <c r="AP36" s="1048"/>
      <c r="AQ36" s="1048"/>
    </row>
    <row r="37" spans="2:43" x14ac:dyDescent="0.25">
      <c r="B37" s="1064"/>
      <c r="C37" s="1065"/>
      <c r="D37" s="1064"/>
      <c r="E37" s="1067"/>
      <c r="F37" s="1067"/>
      <c r="G37" s="1052"/>
      <c r="H37" s="1053"/>
      <c r="I37" s="1053"/>
      <c r="J37" s="1114" t="str">
        <f t="shared" si="0"/>
        <v/>
      </c>
      <c r="K37" s="1054"/>
      <c r="L37" s="1054"/>
      <c r="M37" s="1115" t="str">
        <f t="shared" si="1"/>
        <v/>
      </c>
      <c r="N37" s="1054"/>
      <c r="O37" s="1054"/>
      <c r="P37" s="1115" t="str">
        <f t="shared" si="2"/>
        <v/>
      </c>
      <c r="Q37" s="1055"/>
      <c r="R37" s="1055"/>
      <c r="S37" s="1115" t="str">
        <f t="shared" si="3"/>
        <v/>
      </c>
      <c r="T37" s="1054"/>
      <c r="U37" s="1054"/>
      <c r="V37" s="1253" t="str">
        <f t="shared" si="5"/>
        <v/>
      </c>
      <c r="W37" s="1048"/>
      <c r="X37" s="1048"/>
      <c r="Y37" s="1048"/>
      <c r="Z37" s="1048"/>
      <c r="AA37" s="1048"/>
      <c r="AB37" s="1048"/>
      <c r="AC37" s="1048"/>
      <c r="AD37" s="1048"/>
      <c r="AE37" s="1048"/>
      <c r="AF37" s="1048"/>
      <c r="AG37" s="1048"/>
      <c r="AH37" s="1048"/>
      <c r="AI37" s="1048"/>
      <c r="AJ37" s="1048"/>
      <c r="AK37" s="1048"/>
      <c r="AL37" s="1048"/>
      <c r="AM37" s="1048"/>
      <c r="AN37" s="1048"/>
      <c r="AO37" s="1048"/>
      <c r="AP37" s="1048"/>
      <c r="AQ37" s="1048"/>
    </row>
    <row r="38" spans="2:43" x14ac:dyDescent="0.25">
      <c r="B38" s="1064"/>
      <c r="C38" s="1065"/>
      <c r="D38" s="1064"/>
      <c r="E38" s="1067"/>
      <c r="F38" s="1067"/>
      <c r="G38" s="1052"/>
      <c r="H38" s="1053"/>
      <c r="I38" s="1053"/>
      <c r="J38" s="1114" t="str">
        <f t="shared" si="0"/>
        <v/>
      </c>
      <c r="K38" s="1054"/>
      <c r="L38" s="1054"/>
      <c r="M38" s="1115" t="str">
        <f t="shared" si="1"/>
        <v/>
      </c>
      <c r="N38" s="1054"/>
      <c r="O38" s="1054"/>
      <c r="P38" s="1115" t="str">
        <f t="shared" si="2"/>
        <v/>
      </c>
      <c r="Q38" s="1055"/>
      <c r="R38" s="1055"/>
      <c r="S38" s="1115" t="str">
        <f t="shared" si="3"/>
        <v/>
      </c>
      <c r="T38" s="1054"/>
      <c r="U38" s="1054"/>
      <c r="V38" s="1253" t="str">
        <f t="shared" si="5"/>
        <v/>
      </c>
      <c r="W38" s="1048"/>
      <c r="X38" s="1048"/>
      <c r="Y38" s="1048"/>
      <c r="Z38" s="1048"/>
      <c r="AA38" s="1048"/>
      <c r="AB38" s="1048"/>
      <c r="AC38" s="1048"/>
      <c r="AD38" s="1048"/>
      <c r="AE38" s="1048"/>
      <c r="AF38" s="1048"/>
      <c r="AG38" s="1048"/>
      <c r="AH38" s="1048"/>
      <c r="AI38" s="1048"/>
      <c r="AJ38" s="1048"/>
      <c r="AK38" s="1048"/>
      <c r="AL38" s="1048"/>
      <c r="AM38" s="1048"/>
      <c r="AN38" s="1048"/>
      <c r="AO38" s="1048"/>
      <c r="AP38" s="1048"/>
      <c r="AQ38" s="1048"/>
    </row>
    <row r="39" spans="2:43" x14ac:dyDescent="0.25">
      <c r="B39" s="1064"/>
      <c r="C39" s="1065"/>
      <c r="D39" s="1064"/>
      <c r="E39" s="1067"/>
      <c r="F39" s="1067"/>
      <c r="G39" s="1052"/>
      <c r="H39" s="1053"/>
      <c r="I39" s="1053"/>
      <c r="J39" s="1114" t="str">
        <f t="shared" si="0"/>
        <v/>
      </c>
      <c r="K39" s="1054"/>
      <c r="L39" s="1054"/>
      <c r="M39" s="1115" t="str">
        <f t="shared" si="1"/>
        <v/>
      </c>
      <c r="N39" s="1054"/>
      <c r="O39" s="1054"/>
      <c r="P39" s="1115" t="str">
        <f t="shared" si="2"/>
        <v/>
      </c>
      <c r="Q39" s="1055"/>
      <c r="R39" s="1055"/>
      <c r="S39" s="1115" t="str">
        <f t="shared" si="3"/>
        <v/>
      </c>
      <c r="T39" s="1054"/>
      <c r="U39" s="1054"/>
      <c r="V39" s="1253" t="str">
        <f t="shared" si="5"/>
        <v/>
      </c>
      <c r="W39" s="1048"/>
      <c r="X39" s="1048"/>
      <c r="Y39" s="1048"/>
      <c r="Z39" s="1048"/>
      <c r="AA39" s="1048"/>
      <c r="AB39" s="1048"/>
      <c r="AC39" s="1048"/>
      <c r="AD39" s="1048"/>
      <c r="AE39" s="1048"/>
      <c r="AF39" s="1048"/>
      <c r="AG39" s="1048"/>
      <c r="AH39" s="1048"/>
      <c r="AI39" s="1048"/>
      <c r="AJ39" s="1048"/>
      <c r="AK39" s="1048"/>
      <c r="AL39" s="1048"/>
      <c r="AM39" s="1048"/>
      <c r="AN39" s="1048"/>
      <c r="AO39" s="1048"/>
      <c r="AP39" s="1048"/>
      <c r="AQ39" s="1048"/>
    </row>
    <row r="40" spans="2:43" x14ac:dyDescent="0.25">
      <c r="B40" s="1064"/>
      <c r="C40" s="1065"/>
      <c r="D40" s="1064"/>
      <c r="E40" s="1067"/>
      <c r="F40" s="1067"/>
      <c r="G40" s="1052"/>
      <c r="H40" s="1053"/>
      <c r="I40" s="1053"/>
      <c r="J40" s="1114" t="str">
        <f t="shared" si="0"/>
        <v/>
      </c>
      <c r="K40" s="1054"/>
      <c r="L40" s="1054"/>
      <c r="M40" s="1115" t="str">
        <f t="shared" si="1"/>
        <v/>
      </c>
      <c r="N40" s="1054"/>
      <c r="O40" s="1054"/>
      <c r="P40" s="1115" t="str">
        <f t="shared" si="2"/>
        <v/>
      </c>
      <c r="Q40" s="1055"/>
      <c r="R40" s="1055"/>
      <c r="S40" s="1115" t="str">
        <f t="shared" si="3"/>
        <v/>
      </c>
      <c r="T40" s="1054"/>
      <c r="U40" s="1054"/>
      <c r="V40" s="1253" t="str">
        <f t="shared" si="5"/>
        <v/>
      </c>
      <c r="W40" s="1048"/>
      <c r="X40" s="1048"/>
      <c r="Y40" s="1048"/>
      <c r="Z40" s="1048"/>
      <c r="AA40" s="1048"/>
      <c r="AB40" s="1048"/>
      <c r="AC40" s="1048"/>
      <c r="AD40" s="1048"/>
      <c r="AE40" s="1048"/>
      <c r="AF40" s="1048"/>
      <c r="AG40" s="1048"/>
      <c r="AH40" s="1048"/>
      <c r="AI40" s="1048"/>
      <c r="AJ40" s="1048"/>
      <c r="AK40" s="1048"/>
      <c r="AL40" s="1048"/>
      <c r="AM40" s="1048"/>
      <c r="AN40" s="1048"/>
      <c r="AO40" s="1048"/>
      <c r="AP40" s="1048"/>
      <c r="AQ40" s="1048"/>
    </row>
    <row r="41" spans="2:43" x14ac:dyDescent="0.25">
      <c r="B41" s="1064"/>
      <c r="C41" s="1065"/>
      <c r="D41" s="1064"/>
      <c r="E41" s="1067"/>
      <c r="F41" s="1067"/>
      <c r="G41" s="1052"/>
      <c r="H41" s="1053"/>
      <c r="I41" s="1053"/>
      <c r="J41" s="1114" t="str">
        <f t="shared" si="0"/>
        <v/>
      </c>
      <c r="K41" s="1054"/>
      <c r="L41" s="1054"/>
      <c r="M41" s="1115" t="str">
        <f t="shared" si="1"/>
        <v/>
      </c>
      <c r="N41" s="1054"/>
      <c r="O41" s="1054"/>
      <c r="P41" s="1115" t="str">
        <f t="shared" si="2"/>
        <v/>
      </c>
      <c r="Q41" s="1055"/>
      <c r="R41" s="1055"/>
      <c r="S41" s="1115" t="str">
        <f t="shared" si="3"/>
        <v/>
      </c>
      <c r="T41" s="1054"/>
      <c r="U41" s="1054"/>
      <c r="V41" s="1253" t="str">
        <f t="shared" si="5"/>
        <v/>
      </c>
      <c r="W41" s="1048"/>
      <c r="X41" s="1048"/>
      <c r="Y41" s="1048"/>
      <c r="Z41" s="1048"/>
      <c r="AA41" s="1048"/>
      <c r="AB41" s="1048"/>
      <c r="AC41" s="1048"/>
      <c r="AD41" s="1048"/>
      <c r="AE41" s="1048"/>
      <c r="AF41" s="1048"/>
      <c r="AG41" s="1048"/>
      <c r="AH41" s="1048"/>
      <c r="AI41" s="1048"/>
      <c r="AJ41" s="1048"/>
      <c r="AK41" s="1048"/>
      <c r="AL41" s="1048"/>
      <c r="AM41" s="1048"/>
      <c r="AN41" s="1048"/>
      <c r="AO41" s="1048"/>
      <c r="AP41" s="1048"/>
      <c r="AQ41" s="1048"/>
    </row>
    <row r="42" spans="2:43" x14ac:dyDescent="0.25">
      <c r="B42" s="1064"/>
      <c r="C42" s="1065"/>
      <c r="D42" s="1064"/>
      <c r="E42" s="1067"/>
      <c r="F42" s="1067"/>
      <c r="G42" s="1052"/>
      <c r="H42" s="1053"/>
      <c r="I42" s="1053"/>
      <c r="J42" s="1114" t="str">
        <f t="shared" si="0"/>
        <v/>
      </c>
      <c r="K42" s="1054"/>
      <c r="L42" s="1054"/>
      <c r="M42" s="1115" t="str">
        <f t="shared" si="1"/>
        <v/>
      </c>
      <c r="N42" s="1054"/>
      <c r="O42" s="1054"/>
      <c r="P42" s="1115" t="str">
        <f t="shared" si="2"/>
        <v/>
      </c>
      <c r="Q42" s="1055"/>
      <c r="R42" s="1055"/>
      <c r="S42" s="1115" t="str">
        <f t="shared" si="3"/>
        <v/>
      </c>
      <c r="T42" s="1054"/>
      <c r="U42" s="1054"/>
      <c r="V42" s="1253" t="str">
        <f t="shared" si="5"/>
        <v/>
      </c>
      <c r="W42" s="1048"/>
      <c r="X42" s="1068"/>
      <c r="Y42" s="1048"/>
      <c r="Z42" s="1048"/>
      <c r="AA42" s="1048"/>
      <c r="AB42" s="1048"/>
      <c r="AC42" s="1048"/>
      <c r="AD42" s="1048"/>
      <c r="AE42" s="1048"/>
      <c r="AF42" s="1048"/>
      <c r="AG42" s="1048"/>
      <c r="AH42" s="1048"/>
      <c r="AI42" s="1048"/>
      <c r="AJ42" s="1048"/>
      <c r="AK42" s="1048"/>
      <c r="AL42" s="1048"/>
      <c r="AM42" s="1048"/>
      <c r="AN42" s="1048"/>
      <c r="AO42" s="1048"/>
      <c r="AP42" s="1048"/>
      <c r="AQ42" s="1048"/>
    </row>
    <row r="43" spans="2:43" x14ac:dyDescent="0.25">
      <c r="B43" s="1064"/>
      <c r="C43" s="1065"/>
      <c r="D43" s="1064"/>
      <c r="E43" s="1067"/>
      <c r="F43" s="1067"/>
      <c r="G43" s="1052"/>
      <c r="H43" s="1053"/>
      <c r="I43" s="1053"/>
      <c r="J43" s="1114" t="str">
        <f t="shared" si="0"/>
        <v/>
      </c>
      <c r="K43" s="1054"/>
      <c r="L43" s="1054"/>
      <c r="M43" s="1115" t="str">
        <f t="shared" si="1"/>
        <v/>
      </c>
      <c r="N43" s="1054"/>
      <c r="O43" s="1054"/>
      <c r="P43" s="1115" t="str">
        <f t="shared" si="2"/>
        <v/>
      </c>
      <c r="Q43" s="1055"/>
      <c r="R43" s="1055"/>
      <c r="S43" s="1115" t="str">
        <f t="shared" si="3"/>
        <v/>
      </c>
      <c r="T43" s="1054"/>
      <c r="U43" s="1054"/>
      <c r="V43" s="1253" t="str">
        <f t="shared" si="5"/>
        <v/>
      </c>
      <c r="W43" s="1048"/>
      <c r="X43" s="1048"/>
      <c r="Y43" s="1048"/>
      <c r="Z43" s="1048"/>
      <c r="AA43" s="1048"/>
      <c r="AB43" s="1048"/>
      <c r="AC43" s="1048"/>
      <c r="AD43" s="1048"/>
      <c r="AE43" s="1048"/>
      <c r="AF43" s="1048"/>
      <c r="AG43" s="1048"/>
      <c r="AH43" s="1048"/>
      <c r="AI43" s="1048"/>
      <c r="AJ43" s="1048"/>
      <c r="AK43" s="1048"/>
      <c r="AL43" s="1048"/>
      <c r="AM43" s="1048"/>
      <c r="AN43" s="1048"/>
      <c r="AO43" s="1048"/>
      <c r="AP43" s="1048"/>
      <c r="AQ43" s="1048"/>
    </row>
    <row r="44" spans="2:43" x14ac:dyDescent="0.25">
      <c r="B44" s="1064"/>
      <c r="C44" s="1065"/>
      <c r="D44" s="1064"/>
      <c r="E44" s="1067"/>
      <c r="F44" s="1067"/>
      <c r="G44" s="1052"/>
      <c r="H44" s="1053"/>
      <c r="I44" s="1053"/>
      <c r="J44" s="1114" t="str">
        <f t="shared" si="0"/>
        <v/>
      </c>
      <c r="K44" s="1054"/>
      <c r="L44" s="1054"/>
      <c r="M44" s="1115" t="str">
        <f t="shared" si="1"/>
        <v/>
      </c>
      <c r="N44" s="1054"/>
      <c r="O44" s="1054"/>
      <c r="P44" s="1115" t="str">
        <f t="shared" si="2"/>
        <v/>
      </c>
      <c r="Q44" s="1055"/>
      <c r="R44" s="1055"/>
      <c r="S44" s="1115" t="str">
        <f t="shared" si="3"/>
        <v/>
      </c>
      <c r="T44" s="1054"/>
      <c r="U44" s="1054"/>
      <c r="V44" s="1253" t="str">
        <f t="shared" si="5"/>
        <v/>
      </c>
      <c r="W44" s="1048"/>
      <c r="X44" s="1048"/>
      <c r="Y44" s="1048"/>
      <c r="Z44" s="1048"/>
      <c r="AA44" s="1048"/>
      <c r="AB44" s="1048"/>
      <c r="AC44" s="1048"/>
      <c r="AD44" s="1048"/>
      <c r="AE44" s="1048"/>
      <c r="AF44" s="1048"/>
      <c r="AG44" s="1048"/>
      <c r="AH44" s="1048"/>
      <c r="AI44" s="1048"/>
      <c r="AJ44" s="1048"/>
      <c r="AK44" s="1048"/>
      <c r="AL44" s="1048"/>
      <c r="AM44" s="1048"/>
      <c r="AN44" s="1048"/>
      <c r="AO44" s="1048"/>
      <c r="AP44" s="1048"/>
      <c r="AQ44" s="1048"/>
    </row>
    <row r="45" spans="2:43" x14ac:dyDescent="0.25">
      <c r="B45" s="1064"/>
      <c r="C45" s="1065"/>
      <c r="D45" s="1064"/>
      <c r="E45" s="1067"/>
      <c r="F45" s="1067"/>
      <c r="G45" s="1052"/>
      <c r="H45" s="1053"/>
      <c r="I45" s="1053"/>
      <c r="J45" s="1114" t="str">
        <f t="shared" si="0"/>
        <v/>
      </c>
      <c r="K45" s="1054"/>
      <c r="L45" s="1054"/>
      <c r="M45" s="1115" t="str">
        <f t="shared" si="1"/>
        <v/>
      </c>
      <c r="N45" s="1054"/>
      <c r="O45" s="1054"/>
      <c r="P45" s="1115" t="str">
        <f t="shared" si="2"/>
        <v/>
      </c>
      <c r="Q45" s="1055"/>
      <c r="R45" s="1055"/>
      <c r="S45" s="1115" t="str">
        <f t="shared" si="3"/>
        <v/>
      </c>
      <c r="T45" s="1054"/>
      <c r="U45" s="1054"/>
      <c r="V45" s="1253" t="str">
        <f t="shared" si="5"/>
        <v/>
      </c>
      <c r="W45" s="1048"/>
      <c r="X45" s="1048"/>
      <c r="Y45" s="1048"/>
      <c r="Z45" s="1048"/>
      <c r="AA45" s="1048"/>
      <c r="AB45" s="1048"/>
      <c r="AC45" s="1048"/>
      <c r="AD45" s="1048"/>
      <c r="AE45" s="1048"/>
      <c r="AF45" s="1048"/>
      <c r="AG45" s="1048"/>
      <c r="AH45" s="1048"/>
      <c r="AI45" s="1048"/>
      <c r="AJ45" s="1048"/>
      <c r="AK45" s="1048"/>
      <c r="AL45" s="1048"/>
      <c r="AM45" s="1048"/>
      <c r="AN45" s="1048"/>
      <c r="AO45" s="1048"/>
      <c r="AP45" s="1048"/>
      <c r="AQ45" s="1048"/>
    </row>
    <row r="46" spans="2:43" x14ac:dyDescent="0.25">
      <c r="B46" s="1064"/>
      <c r="C46" s="1065"/>
      <c r="D46" s="1064"/>
      <c r="E46" s="1067"/>
      <c r="F46" s="1067"/>
      <c r="G46" s="1052"/>
      <c r="H46" s="1053"/>
      <c r="I46" s="1053"/>
      <c r="J46" s="1114" t="str">
        <f t="shared" si="0"/>
        <v/>
      </c>
      <c r="K46" s="1054"/>
      <c r="L46" s="1054"/>
      <c r="M46" s="1115" t="str">
        <f t="shared" si="1"/>
        <v/>
      </c>
      <c r="N46" s="1054"/>
      <c r="O46" s="1054"/>
      <c r="P46" s="1115" t="str">
        <f t="shared" si="2"/>
        <v/>
      </c>
      <c r="Q46" s="1055"/>
      <c r="R46" s="1055"/>
      <c r="S46" s="1115" t="str">
        <f t="shared" si="3"/>
        <v/>
      </c>
      <c r="T46" s="1054"/>
      <c r="U46" s="1054"/>
      <c r="V46" s="1253" t="str">
        <f t="shared" si="5"/>
        <v/>
      </c>
      <c r="W46" s="1048"/>
      <c r="X46" s="1048"/>
      <c r="Y46" s="1048"/>
      <c r="Z46" s="1048"/>
      <c r="AA46" s="1048"/>
      <c r="AB46" s="1048"/>
      <c r="AC46" s="1048"/>
      <c r="AD46" s="1048"/>
      <c r="AE46" s="1048"/>
      <c r="AF46" s="1048"/>
      <c r="AG46" s="1048"/>
      <c r="AH46" s="1048"/>
      <c r="AI46" s="1048"/>
      <c r="AJ46" s="1048"/>
      <c r="AK46" s="1048"/>
      <c r="AL46" s="1048"/>
      <c r="AM46" s="1048"/>
      <c r="AN46" s="1048"/>
      <c r="AO46" s="1048"/>
      <c r="AP46" s="1048"/>
      <c r="AQ46" s="1048"/>
    </row>
    <row r="47" spans="2:43" x14ac:dyDescent="0.25">
      <c r="B47" s="1064"/>
      <c r="C47" s="1065"/>
      <c r="D47" s="1064"/>
      <c r="E47" s="1067"/>
      <c r="F47" s="1067"/>
      <c r="G47" s="1052"/>
      <c r="H47" s="1055"/>
      <c r="I47" s="1055"/>
      <c r="J47" s="1114" t="str">
        <f t="shared" si="0"/>
        <v/>
      </c>
      <c r="K47" s="1054"/>
      <c r="L47" s="1054"/>
      <c r="M47" s="1115" t="str">
        <f t="shared" si="1"/>
        <v/>
      </c>
      <c r="N47" s="1054"/>
      <c r="O47" s="1054"/>
      <c r="P47" s="1115" t="str">
        <f t="shared" si="2"/>
        <v/>
      </c>
      <c r="Q47" s="1055"/>
      <c r="R47" s="1055"/>
      <c r="S47" s="1115" t="str">
        <f t="shared" si="3"/>
        <v/>
      </c>
      <c r="T47" s="1054"/>
      <c r="U47" s="1054"/>
      <c r="V47" s="1253" t="str">
        <f t="shared" si="5"/>
        <v/>
      </c>
      <c r="W47" s="1048"/>
      <c r="X47" s="1048"/>
      <c r="Y47" s="1048"/>
      <c r="Z47" s="1048"/>
      <c r="AA47" s="1048"/>
      <c r="AB47" s="1048"/>
      <c r="AC47" s="1048"/>
      <c r="AD47" s="1048"/>
      <c r="AE47" s="1048"/>
      <c r="AF47" s="1048"/>
      <c r="AG47" s="1048"/>
      <c r="AH47" s="1048"/>
      <c r="AI47" s="1048"/>
      <c r="AJ47" s="1048"/>
      <c r="AK47" s="1048"/>
      <c r="AL47" s="1048"/>
      <c r="AM47" s="1048"/>
      <c r="AN47" s="1048"/>
      <c r="AO47" s="1048"/>
      <c r="AP47" s="1048"/>
      <c r="AQ47" s="1048"/>
    </row>
    <row r="48" spans="2:43" x14ac:dyDescent="0.25">
      <c r="B48" s="1064"/>
      <c r="C48" s="1065"/>
      <c r="D48" s="1064"/>
      <c r="E48" s="1067"/>
      <c r="F48" s="1067"/>
      <c r="G48" s="1052"/>
      <c r="H48" s="1055"/>
      <c r="I48" s="1055"/>
      <c r="J48" s="1114" t="str">
        <f t="shared" si="0"/>
        <v/>
      </c>
      <c r="K48" s="1054"/>
      <c r="L48" s="1054"/>
      <c r="M48" s="1115" t="str">
        <f t="shared" si="1"/>
        <v/>
      </c>
      <c r="N48" s="1054"/>
      <c r="O48" s="1054"/>
      <c r="P48" s="1115" t="str">
        <f t="shared" si="2"/>
        <v/>
      </c>
      <c r="Q48" s="1055"/>
      <c r="R48" s="1055"/>
      <c r="S48" s="1115" t="str">
        <f t="shared" si="3"/>
        <v/>
      </c>
      <c r="T48" s="1054"/>
      <c r="U48" s="1054"/>
      <c r="V48" s="1253" t="str">
        <f t="shared" si="5"/>
        <v/>
      </c>
      <c r="W48" s="1048"/>
      <c r="X48" s="1048"/>
      <c r="Y48" s="1048"/>
      <c r="Z48" s="1048"/>
      <c r="AA48" s="1048"/>
      <c r="AB48" s="1048"/>
      <c r="AC48" s="1048"/>
      <c r="AD48" s="1048"/>
      <c r="AE48" s="1048"/>
      <c r="AF48" s="1048"/>
      <c r="AG48" s="1048"/>
      <c r="AH48" s="1048"/>
      <c r="AI48" s="1048"/>
      <c r="AJ48" s="1048"/>
      <c r="AK48" s="1048"/>
      <c r="AL48" s="1048"/>
      <c r="AM48" s="1048"/>
      <c r="AN48" s="1048"/>
      <c r="AO48" s="1048"/>
      <c r="AP48" s="1048"/>
      <c r="AQ48" s="1048"/>
    </row>
    <row r="49" spans="2:43" x14ac:dyDescent="0.25">
      <c r="B49" s="1064"/>
      <c r="C49" s="1065"/>
      <c r="D49" s="1064"/>
      <c r="E49" s="1067"/>
      <c r="F49" s="1067"/>
      <c r="G49" s="1052"/>
      <c r="H49" s="1055"/>
      <c r="I49" s="1055"/>
      <c r="J49" s="1114" t="str">
        <f t="shared" si="0"/>
        <v/>
      </c>
      <c r="K49" s="1054"/>
      <c r="L49" s="1054"/>
      <c r="M49" s="1115" t="str">
        <f t="shared" si="1"/>
        <v/>
      </c>
      <c r="N49" s="1054"/>
      <c r="O49" s="1054"/>
      <c r="P49" s="1115" t="str">
        <f t="shared" si="2"/>
        <v/>
      </c>
      <c r="Q49" s="1055"/>
      <c r="R49" s="1055"/>
      <c r="S49" s="1115" t="str">
        <f t="shared" si="3"/>
        <v/>
      </c>
      <c r="T49" s="1054"/>
      <c r="U49" s="1054"/>
      <c r="V49" s="1253" t="str">
        <f t="shared" si="5"/>
        <v/>
      </c>
      <c r="W49" s="1048"/>
      <c r="X49" s="1048"/>
      <c r="Y49" s="1048"/>
      <c r="Z49" s="1048"/>
      <c r="AA49" s="1048"/>
      <c r="AB49" s="1048"/>
      <c r="AC49" s="1048"/>
      <c r="AD49" s="1048"/>
      <c r="AE49" s="1048"/>
      <c r="AF49" s="1048"/>
      <c r="AG49" s="1048"/>
      <c r="AH49" s="1048"/>
      <c r="AI49" s="1048"/>
      <c r="AJ49" s="1048"/>
      <c r="AK49" s="1048"/>
      <c r="AL49" s="1048"/>
      <c r="AM49" s="1048"/>
      <c r="AN49" s="1048"/>
      <c r="AO49" s="1048"/>
      <c r="AP49" s="1048"/>
      <c r="AQ49" s="1048"/>
    </row>
    <row r="50" spans="2:43" x14ac:dyDescent="0.25">
      <c r="B50" s="1064"/>
      <c r="C50" s="1065"/>
      <c r="D50" s="1064"/>
      <c r="E50" s="1067"/>
      <c r="F50" s="1067"/>
      <c r="G50" s="1052"/>
      <c r="H50" s="1055"/>
      <c r="I50" s="1055"/>
      <c r="J50" s="1114" t="str">
        <f t="shared" si="0"/>
        <v/>
      </c>
      <c r="K50" s="1054"/>
      <c r="L50" s="1054"/>
      <c r="M50" s="1115" t="str">
        <f t="shared" si="1"/>
        <v/>
      </c>
      <c r="N50" s="1054"/>
      <c r="O50" s="1054"/>
      <c r="P50" s="1115" t="str">
        <f t="shared" si="2"/>
        <v/>
      </c>
      <c r="Q50" s="1055"/>
      <c r="R50" s="1055"/>
      <c r="S50" s="1115" t="str">
        <f t="shared" si="3"/>
        <v/>
      </c>
      <c r="T50" s="1054"/>
      <c r="U50" s="1054"/>
      <c r="V50" s="1253" t="str">
        <f t="shared" si="5"/>
        <v/>
      </c>
      <c r="W50" s="1048"/>
      <c r="X50" s="1048"/>
      <c r="Y50" s="1048"/>
      <c r="Z50" s="1048"/>
      <c r="AA50" s="1048"/>
      <c r="AB50" s="1048"/>
      <c r="AC50" s="1048"/>
      <c r="AD50" s="1048"/>
      <c r="AE50" s="1048"/>
      <c r="AF50" s="1048"/>
      <c r="AG50" s="1048"/>
      <c r="AH50" s="1048"/>
      <c r="AI50" s="1048"/>
      <c r="AJ50" s="1048"/>
      <c r="AK50" s="1048"/>
      <c r="AL50" s="1048"/>
      <c r="AM50" s="1048"/>
      <c r="AN50" s="1048"/>
      <c r="AO50" s="1048"/>
      <c r="AP50" s="1048"/>
      <c r="AQ50" s="1048"/>
    </row>
    <row r="51" spans="2:43" x14ac:dyDescent="0.25">
      <c r="B51" s="1064"/>
      <c r="C51" s="1065"/>
      <c r="D51" s="1064"/>
      <c r="E51" s="1067"/>
      <c r="F51" s="1067"/>
      <c r="G51" s="1052"/>
      <c r="H51" s="1055"/>
      <c r="I51" s="1055"/>
      <c r="J51" s="1114" t="str">
        <f t="shared" si="0"/>
        <v/>
      </c>
      <c r="K51" s="1054"/>
      <c r="L51" s="1054"/>
      <c r="M51" s="1115" t="str">
        <f t="shared" si="1"/>
        <v/>
      </c>
      <c r="N51" s="1054"/>
      <c r="O51" s="1054"/>
      <c r="P51" s="1115" t="str">
        <f t="shared" si="2"/>
        <v/>
      </c>
      <c r="Q51" s="1055"/>
      <c r="R51" s="1055"/>
      <c r="S51" s="1115" t="str">
        <f t="shared" si="3"/>
        <v/>
      </c>
      <c r="T51" s="1054"/>
      <c r="U51" s="1054"/>
      <c r="V51" s="1253" t="str">
        <f t="shared" si="5"/>
        <v/>
      </c>
      <c r="W51" s="1048"/>
      <c r="X51" s="1048"/>
      <c r="Y51" s="1048"/>
      <c r="Z51" s="1048"/>
      <c r="AA51" s="1048"/>
      <c r="AB51" s="1048"/>
      <c r="AC51" s="1048"/>
      <c r="AD51" s="1048"/>
      <c r="AE51" s="1048"/>
      <c r="AF51" s="1048"/>
      <c r="AG51" s="1048"/>
      <c r="AH51" s="1048"/>
      <c r="AI51" s="1048"/>
      <c r="AJ51" s="1048"/>
      <c r="AK51" s="1048"/>
      <c r="AL51" s="1048"/>
      <c r="AM51" s="1048"/>
      <c r="AN51" s="1048"/>
      <c r="AO51" s="1048"/>
      <c r="AP51" s="1048"/>
      <c r="AQ51" s="1048"/>
    </row>
    <row r="52" spans="2:43" x14ac:dyDescent="0.25">
      <c r="B52" s="1064"/>
      <c r="C52" s="1065"/>
      <c r="D52" s="1064"/>
      <c r="E52" s="1067"/>
      <c r="F52" s="1067"/>
      <c r="G52" s="1052"/>
      <c r="H52" s="1055"/>
      <c r="I52" s="1055"/>
      <c r="J52" s="1114" t="str">
        <f t="shared" si="0"/>
        <v/>
      </c>
      <c r="K52" s="1054"/>
      <c r="L52" s="1054"/>
      <c r="M52" s="1115" t="str">
        <f t="shared" si="1"/>
        <v/>
      </c>
      <c r="N52" s="1054"/>
      <c r="O52" s="1054"/>
      <c r="P52" s="1115" t="str">
        <f t="shared" si="2"/>
        <v/>
      </c>
      <c r="Q52" s="1055"/>
      <c r="R52" s="1055"/>
      <c r="S52" s="1115" t="str">
        <f t="shared" si="3"/>
        <v/>
      </c>
      <c r="T52" s="1054"/>
      <c r="U52" s="1054"/>
      <c r="V52" s="1253" t="str">
        <f t="shared" si="5"/>
        <v/>
      </c>
      <c r="W52" s="1048"/>
      <c r="X52" s="1048"/>
      <c r="Y52" s="1048"/>
      <c r="Z52" s="1048"/>
      <c r="AA52" s="1048"/>
      <c r="AB52" s="1048"/>
      <c r="AC52" s="1048"/>
      <c r="AD52" s="1048"/>
      <c r="AE52" s="1048"/>
      <c r="AF52" s="1048"/>
      <c r="AG52" s="1048"/>
      <c r="AH52" s="1048"/>
      <c r="AI52" s="1048"/>
      <c r="AJ52" s="1048"/>
      <c r="AK52" s="1048"/>
      <c r="AL52" s="1048"/>
      <c r="AM52" s="1048"/>
      <c r="AN52" s="1048"/>
      <c r="AO52" s="1048"/>
      <c r="AP52" s="1048"/>
      <c r="AQ52" s="1048"/>
    </row>
    <row r="53" spans="2:43" x14ac:dyDescent="0.25">
      <c r="B53" s="1064"/>
      <c r="C53" s="1065"/>
      <c r="D53" s="1064"/>
      <c r="E53" s="1067"/>
      <c r="F53" s="1067"/>
      <c r="G53" s="1052"/>
      <c r="H53" s="1055"/>
      <c r="I53" s="1055"/>
      <c r="J53" s="1114" t="str">
        <f t="shared" si="0"/>
        <v/>
      </c>
      <c r="K53" s="1054"/>
      <c r="L53" s="1054"/>
      <c r="M53" s="1115" t="str">
        <f t="shared" si="1"/>
        <v/>
      </c>
      <c r="N53" s="1054"/>
      <c r="O53" s="1054"/>
      <c r="P53" s="1115" t="str">
        <f t="shared" si="2"/>
        <v/>
      </c>
      <c r="Q53" s="1055"/>
      <c r="R53" s="1055"/>
      <c r="S53" s="1115" t="str">
        <f t="shared" si="3"/>
        <v/>
      </c>
      <c r="T53" s="1054"/>
      <c r="U53" s="1054"/>
      <c r="V53" s="1253" t="str">
        <f t="shared" si="5"/>
        <v/>
      </c>
      <c r="W53" s="1048"/>
      <c r="X53" s="1048"/>
      <c r="Y53" s="1048"/>
      <c r="Z53" s="1048"/>
      <c r="AA53" s="1048"/>
      <c r="AB53" s="1048"/>
      <c r="AC53" s="1048"/>
      <c r="AD53" s="1048"/>
      <c r="AE53" s="1048"/>
      <c r="AF53" s="1048"/>
      <c r="AG53" s="1048"/>
      <c r="AH53" s="1048"/>
      <c r="AI53" s="1048"/>
      <c r="AJ53" s="1048"/>
      <c r="AK53" s="1048"/>
      <c r="AL53" s="1048"/>
      <c r="AM53" s="1048"/>
      <c r="AN53" s="1048"/>
      <c r="AO53" s="1048"/>
      <c r="AP53" s="1048"/>
      <c r="AQ53" s="1048"/>
    </row>
    <row r="54" spans="2:43" x14ac:dyDescent="0.25">
      <c r="B54" s="1064"/>
      <c r="C54" s="1065"/>
      <c r="D54" s="1064"/>
      <c r="E54" s="1067"/>
      <c r="F54" s="1067"/>
      <c r="G54" s="1052"/>
      <c r="H54" s="1055"/>
      <c r="I54" s="1055"/>
      <c r="J54" s="1114" t="str">
        <f t="shared" si="0"/>
        <v/>
      </c>
      <c r="K54" s="1054"/>
      <c r="L54" s="1054"/>
      <c r="M54" s="1115" t="str">
        <f t="shared" si="1"/>
        <v/>
      </c>
      <c r="N54" s="1054"/>
      <c r="O54" s="1054"/>
      <c r="P54" s="1115" t="str">
        <f t="shared" si="2"/>
        <v/>
      </c>
      <c r="Q54" s="1055"/>
      <c r="R54" s="1055"/>
      <c r="S54" s="1115" t="str">
        <f t="shared" si="3"/>
        <v/>
      </c>
      <c r="T54" s="1054"/>
      <c r="U54" s="1054"/>
      <c r="V54" s="1253" t="str">
        <f t="shared" si="5"/>
        <v/>
      </c>
      <c r="W54" s="1048"/>
      <c r="X54" s="1048"/>
      <c r="Y54" s="1048"/>
      <c r="Z54" s="1048"/>
      <c r="AA54" s="1048"/>
      <c r="AB54" s="1048"/>
      <c r="AC54" s="1048"/>
      <c r="AD54" s="1048"/>
      <c r="AE54" s="1048"/>
      <c r="AF54" s="1048"/>
      <c r="AG54" s="1048"/>
      <c r="AH54" s="1048"/>
      <c r="AI54" s="1048"/>
      <c r="AJ54" s="1048"/>
      <c r="AK54" s="1048"/>
      <c r="AL54" s="1048"/>
      <c r="AM54" s="1048"/>
      <c r="AN54" s="1048"/>
      <c r="AO54" s="1048"/>
      <c r="AP54" s="1048"/>
      <c r="AQ54" s="1048"/>
    </row>
    <row r="55" spans="2:43" x14ac:dyDescent="0.25">
      <c r="B55" s="1064"/>
      <c r="C55" s="1065"/>
      <c r="D55" s="1064"/>
      <c r="E55" s="1067"/>
      <c r="F55" s="1067"/>
      <c r="G55" s="1052"/>
      <c r="H55" s="1055"/>
      <c r="I55" s="1055"/>
      <c r="J55" s="1114" t="str">
        <f t="shared" si="0"/>
        <v/>
      </c>
      <c r="K55" s="1054"/>
      <c r="L55" s="1054"/>
      <c r="M55" s="1115" t="str">
        <f t="shared" si="1"/>
        <v/>
      </c>
      <c r="N55" s="1054"/>
      <c r="O55" s="1054"/>
      <c r="P55" s="1115" t="str">
        <f t="shared" si="2"/>
        <v/>
      </c>
      <c r="Q55" s="1055"/>
      <c r="R55" s="1055"/>
      <c r="S55" s="1115" t="str">
        <f t="shared" si="3"/>
        <v/>
      </c>
      <c r="T55" s="1054"/>
      <c r="U55" s="1054"/>
      <c r="V55" s="1253" t="str">
        <f t="shared" si="5"/>
        <v/>
      </c>
      <c r="W55" s="1048"/>
      <c r="X55" s="1048"/>
      <c r="Y55" s="1048"/>
      <c r="Z55" s="1048"/>
      <c r="AA55" s="1048"/>
      <c r="AB55" s="1048"/>
      <c r="AC55" s="1048"/>
      <c r="AD55" s="1048"/>
      <c r="AE55" s="1048"/>
      <c r="AF55" s="1048"/>
      <c r="AG55" s="1048"/>
      <c r="AH55" s="1048"/>
      <c r="AI55" s="1048"/>
      <c r="AJ55" s="1048"/>
      <c r="AK55" s="1048"/>
      <c r="AL55" s="1048"/>
      <c r="AM55" s="1048"/>
      <c r="AN55" s="1048"/>
      <c r="AO55" s="1048"/>
      <c r="AP55" s="1048"/>
      <c r="AQ55" s="1048"/>
    </row>
    <row r="56" spans="2:43" x14ac:dyDescent="0.25">
      <c r="B56" s="1064"/>
      <c r="C56" s="1065"/>
      <c r="D56" s="1064"/>
      <c r="E56" s="1067"/>
      <c r="F56" s="1067"/>
      <c r="G56" s="1052"/>
      <c r="H56" s="1055"/>
      <c r="I56" s="1055"/>
      <c r="J56" s="1114" t="str">
        <f t="shared" si="0"/>
        <v/>
      </c>
      <c r="K56" s="1054"/>
      <c r="L56" s="1054"/>
      <c r="M56" s="1115" t="str">
        <f t="shared" si="1"/>
        <v/>
      </c>
      <c r="N56" s="1054"/>
      <c r="O56" s="1054"/>
      <c r="P56" s="1115" t="str">
        <f t="shared" si="2"/>
        <v/>
      </c>
      <c r="Q56" s="1055"/>
      <c r="R56" s="1055"/>
      <c r="S56" s="1115" t="str">
        <f t="shared" si="3"/>
        <v/>
      </c>
      <c r="T56" s="1054"/>
      <c r="U56" s="1054"/>
      <c r="V56" s="1253" t="str">
        <f t="shared" si="5"/>
        <v/>
      </c>
      <c r="W56" s="1048"/>
      <c r="X56" s="1048"/>
      <c r="Y56" s="1048"/>
      <c r="Z56" s="1048"/>
      <c r="AA56" s="1048"/>
      <c r="AB56" s="1048"/>
      <c r="AC56" s="1048"/>
      <c r="AD56" s="1048"/>
      <c r="AE56" s="1048"/>
      <c r="AF56" s="1048"/>
      <c r="AG56" s="1048"/>
      <c r="AH56" s="1048"/>
      <c r="AI56" s="1048"/>
      <c r="AJ56" s="1048"/>
      <c r="AK56" s="1048"/>
      <c r="AL56" s="1048"/>
      <c r="AM56" s="1048"/>
      <c r="AN56" s="1048"/>
      <c r="AO56" s="1048"/>
      <c r="AP56" s="1048"/>
      <c r="AQ56" s="1048"/>
    </row>
    <row r="57" spans="2:43" x14ac:dyDescent="0.25">
      <c r="B57" s="1064"/>
      <c r="C57" s="1065"/>
      <c r="D57" s="1064"/>
      <c r="E57" s="1067"/>
      <c r="F57" s="1067"/>
      <c r="G57" s="1052"/>
      <c r="H57" s="1055"/>
      <c r="I57" s="1055"/>
      <c r="J57" s="1114" t="str">
        <f t="shared" si="0"/>
        <v/>
      </c>
      <c r="K57" s="1054"/>
      <c r="L57" s="1054"/>
      <c r="M57" s="1115" t="str">
        <f t="shared" si="1"/>
        <v/>
      </c>
      <c r="N57" s="1054"/>
      <c r="O57" s="1054"/>
      <c r="P57" s="1115" t="str">
        <f t="shared" si="2"/>
        <v/>
      </c>
      <c r="Q57" s="1055"/>
      <c r="R57" s="1055"/>
      <c r="S57" s="1115" t="str">
        <f t="shared" si="3"/>
        <v/>
      </c>
      <c r="T57" s="1054"/>
      <c r="U57" s="1054"/>
      <c r="V57" s="1253" t="str">
        <f t="shared" si="5"/>
        <v/>
      </c>
      <c r="W57" s="1048"/>
      <c r="X57" s="1048"/>
      <c r="Y57" s="1048"/>
      <c r="Z57" s="1048"/>
      <c r="AA57" s="1048"/>
      <c r="AB57" s="1048"/>
      <c r="AC57" s="1048"/>
      <c r="AD57" s="1048"/>
      <c r="AE57" s="1048"/>
      <c r="AF57" s="1048"/>
      <c r="AG57" s="1048"/>
      <c r="AH57" s="1048"/>
      <c r="AI57" s="1048"/>
      <c r="AJ57" s="1048"/>
      <c r="AK57" s="1048"/>
      <c r="AL57" s="1048"/>
      <c r="AM57" s="1048"/>
      <c r="AN57" s="1048"/>
      <c r="AO57" s="1048"/>
      <c r="AP57" s="1048"/>
      <c r="AQ57" s="1048"/>
    </row>
    <row r="58" spans="2:43" x14ac:dyDescent="0.25">
      <c r="B58" s="1064"/>
      <c r="C58" s="1065"/>
      <c r="D58" s="1064"/>
      <c r="E58" s="1067"/>
      <c r="F58" s="1067"/>
      <c r="G58" s="1052"/>
      <c r="H58" s="1055"/>
      <c r="I58" s="1055"/>
      <c r="J58" s="1114" t="str">
        <f t="shared" si="0"/>
        <v/>
      </c>
      <c r="K58" s="1054"/>
      <c r="L58" s="1054"/>
      <c r="M58" s="1115" t="str">
        <f t="shared" si="1"/>
        <v/>
      </c>
      <c r="N58" s="1054"/>
      <c r="O58" s="1054"/>
      <c r="P58" s="1115" t="str">
        <f t="shared" si="2"/>
        <v/>
      </c>
      <c r="Q58" s="1055"/>
      <c r="R58" s="1055"/>
      <c r="S58" s="1115" t="str">
        <f t="shared" si="3"/>
        <v/>
      </c>
      <c r="T58" s="1054"/>
      <c r="U58" s="1054"/>
      <c r="V58" s="1253" t="str">
        <f t="shared" si="5"/>
        <v/>
      </c>
      <c r="W58" s="1048"/>
      <c r="X58" s="1048"/>
      <c r="Y58" s="1048"/>
      <c r="Z58" s="1048"/>
      <c r="AA58" s="1048"/>
      <c r="AB58" s="1048"/>
      <c r="AC58" s="1048"/>
      <c r="AD58" s="1048"/>
      <c r="AE58" s="1048"/>
      <c r="AF58" s="1048"/>
      <c r="AG58" s="1048"/>
      <c r="AH58" s="1048"/>
      <c r="AI58" s="1048"/>
      <c r="AJ58" s="1048"/>
      <c r="AK58" s="1048"/>
      <c r="AL58" s="1048"/>
      <c r="AM58" s="1048"/>
      <c r="AN58" s="1048"/>
      <c r="AO58" s="1048"/>
      <c r="AP58" s="1048"/>
      <c r="AQ58" s="1048"/>
    </row>
    <row r="59" spans="2:43" x14ac:dyDescent="0.25">
      <c r="B59" s="1064"/>
      <c r="C59" s="1065"/>
      <c r="D59" s="1064"/>
      <c r="E59" s="1069"/>
      <c r="F59" s="1069"/>
      <c r="G59" s="1052"/>
      <c r="H59" s="1055"/>
      <c r="I59" s="1055"/>
      <c r="J59" s="1114" t="str">
        <f t="shared" si="0"/>
        <v/>
      </c>
      <c r="K59" s="1055"/>
      <c r="L59" s="1055"/>
      <c r="M59" s="1115" t="str">
        <f t="shared" si="1"/>
        <v/>
      </c>
      <c r="N59" s="1055"/>
      <c r="O59" s="1055"/>
      <c r="P59" s="1115" t="str">
        <f t="shared" si="2"/>
        <v/>
      </c>
      <c r="Q59" s="1055"/>
      <c r="R59" s="1055"/>
      <c r="S59" s="1115" t="str">
        <f t="shared" si="3"/>
        <v/>
      </c>
      <c r="T59" s="1054"/>
      <c r="U59" s="1055"/>
      <c r="V59" s="1253" t="str">
        <f t="shared" si="5"/>
        <v/>
      </c>
      <c r="W59" s="1048"/>
      <c r="X59" s="1048"/>
      <c r="Y59" s="1048"/>
      <c r="Z59" s="1048"/>
      <c r="AA59" s="1048"/>
      <c r="AB59" s="1048"/>
      <c r="AC59" s="1048"/>
      <c r="AD59" s="1048"/>
      <c r="AE59" s="1048"/>
      <c r="AF59" s="1048"/>
      <c r="AG59" s="1048"/>
      <c r="AH59" s="1048"/>
      <c r="AI59" s="1048"/>
      <c r="AJ59" s="1048"/>
      <c r="AK59" s="1048"/>
      <c r="AL59" s="1048"/>
      <c r="AM59" s="1048"/>
      <c r="AN59" s="1048"/>
      <c r="AO59" s="1048"/>
      <c r="AP59" s="1048"/>
      <c r="AQ59" s="1048"/>
    </row>
    <row r="60" spans="2:43" x14ac:dyDescent="0.25">
      <c r="B60" s="1064"/>
      <c r="C60" s="1065"/>
      <c r="D60" s="1064"/>
      <c r="E60" s="1069"/>
      <c r="F60" s="1069"/>
      <c r="G60" s="1052"/>
      <c r="H60" s="1055"/>
      <c r="I60" s="1055"/>
      <c r="J60" s="1114" t="str">
        <f t="shared" si="0"/>
        <v/>
      </c>
      <c r="K60" s="1055"/>
      <c r="L60" s="1055"/>
      <c r="M60" s="1115" t="str">
        <f t="shared" si="1"/>
        <v/>
      </c>
      <c r="N60" s="1055"/>
      <c r="O60" s="1055"/>
      <c r="P60" s="1115" t="str">
        <f t="shared" si="2"/>
        <v/>
      </c>
      <c r="Q60" s="1055"/>
      <c r="R60" s="1055"/>
      <c r="S60" s="1115" t="str">
        <f t="shared" si="3"/>
        <v/>
      </c>
      <c r="T60" s="1054"/>
      <c r="U60" s="1055"/>
      <c r="V60" s="1253" t="str">
        <f t="shared" si="5"/>
        <v/>
      </c>
      <c r="W60" s="1048"/>
      <c r="X60" s="1048"/>
      <c r="Y60" s="1048"/>
      <c r="Z60" s="1048"/>
      <c r="AA60" s="1048"/>
      <c r="AB60" s="1048"/>
      <c r="AC60" s="1048"/>
      <c r="AD60" s="1048"/>
      <c r="AE60" s="1048"/>
      <c r="AF60" s="1048"/>
      <c r="AG60" s="1048"/>
      <c r="AH60" s="1048"/>
      <c r="AI60" s="1048"/>
      <c r="AJ60" s="1048"/>
      <c r="AK60" s="1048"/>
      <c r="AL60" s="1048"/>
      <c r="AM60" s="1048"/>
      <c r="AN60" s="1048"/>
      <c r="AO60" s="1048"/>
      <c r="AP60" s="1048"/>
      <c r="AQ60" s="1048"/>
    </row>
    <row r="61" spans="2:43" x14ac:dyDescent="0.25">
      <c r="B61" s="1064"/>
      <c r="C61" s="1065"/>
      <c r="D61" s="1064"/>
      <c r="E61" s="1069"/>
      <c r="F61" s="1069"/>
      <c r="G61" s="1052"/>
      <c r="H61" s="1055"/>
      <c r="I61" s="1055"/>
      <c r="J61" s="1114" t="str">
        <f t="shared" si="0"/>
        <v/>
      </c>
      <c r="K61" s="1055"/>
      <c r="L61" s="1055"/>
      <c r="M61" s="1115" t="str">
        <f t="shared" si="1"/>
        <v/>
      </c>
      <c r="N61" s="1055"/>
      <c r="O61" s="1055"/>
      <c r="P61" s="1115" t="str">
        <f t="shared" si="2"/>
        <v/>
      </c>
      <c r="Q61" s="1055"/>
      <c r="R61" s="1055"/>
      <c r="S61" s="1115" t="str">
        <f t="shared" si="3"/>
        <v/>
      </c>
      <c r="T61" s="1054"/>
      <c r="U61" s="1055"/>
      <c r="V61" s="1253" t="str">
        <f t="shared" si="5"/>
        <v/>
      </c>
      <c r="W61" s="1048"/>
      <c r="X61" s="1048"/>
      <c r="Y61" s="1048"/>
      <c r="Z61" s="1048"/>
      <c r="AA61" s="1048"/>
      <c r="AB61" s="1048"/>
      <c r="AC61" s="1048"/>
      <c r="AD61" s="1048"/>
      <c r="AE61" s="1048"/>
      <c r="AF61" s="1048"/>
      <c r="AG61" s="1048"/>
      <c r="AH61" s="1048"/>
      <c r="AI61" s="1048"/>
      <c r="AJ61" s="1048"/>
      <c r="AK61" s="1048"/>
      <c r="AL61" s="1048"/>
      <c r="AM61" s="1048"/>
      <c r="AN61" s="1048"/>
      <c r="AO61" s="1048"/>
      <c r="AP61" s="1048"/>
      <c r="AQ61" s="1048"/>
    </row>
    <row r="62" spans="2:43" x14ac:dyDescent="0.25">
      <c r="B62" s="1064"/>
      <c r="C62" s="1065"/>
      <c r="D62" s="1064"/>
      <c r="E62" s="1069"/>
      <c r="F62" s="1069"/>
      <c r="G62" s="1052"/>
      <c r="H62" s="1055"/>
      <c r="I62" s="1055"/>
      <c r="J62" s="1114" t="str">
        <f t="shared" si="0"/>
        <v/>
      </c>
      <c r="K62" s="1055"/>
      <c r="L62" s="1055"/>
      <c r="M62" s="1115" t="str">
        <f t="shared" si="1"/>
        <v/>
      </c>
      <c r="N62" s="1055"/>
      <c r="O62" s="1055"/>
      <c r="P62" s="1115" t="str">
        <f t="shared" si="2"/>
        <v/>
      </c>
      <c r="Q62" s="1055"/>
      <c r="R62" s="1055"/>
      <c r="S62" s="1115" t="str">
        <f t="shared" si="3"/>
        <v/>
      </c>
      <c r="T62" s="1054"/>
      <c r="U62" s="1055"/>
      <c r="V62" s="1253" t="str">
        <f t="shared" si="5"/>
        <v/>
      </c>
      <c r="W62" s="1048"/>
      <c r="X62" s="1048"/>
      <c r="Y62" s="1048"/>
      <c r="Z62" s="1048"/>
      <c r="AA62" s="1048"/>
      <c r="AB62" s="1048"/>
      <c r="AC62" s="1048"/>
      <c r="AD62" s="1048"/>
      <c r="AE62" s="1048"/>
      <c r="AF62" s="1048"/>
      <c r="AG62" s="1048"/>
      <c r="AH62" s="1048"/>
      <c r="AI62" s="1048"/>
      <c r="AJ62" s="1048"/>
      <c r="AK62" s="1048"/>
      <c r="AL62" s="1048"/>
      <c r="AM62" s="1048"/>
      <c r="AN62" s="1048"/>
      <c r="AO62" s="1048"/>
      <c r="AP62" s="1048"/>
      <c r="AQ62" s="1048"/>
    </row>
    <row r="63" spans="2:43" x14ac:dyDescent="0.25">
      <c r="B63" s="1064"/>
      <c r="C63" s="1065"/>
      <c r="D63" s="1064"/>
      <c r="E63" s="1069"/>
      <c r="F63" s="1069"/>
      <c r="G63" s="1052"/>
      <c r="H63" s="1055"/>
      <c r="I63" s="1055"/>
      <c r="J63" s="1114" t="str">
        <f t="shared" si="0"/>
        <v/>
      </c>
      <c r="K63" s="1055"/>
      <c r="L63" s="1055"/>
      <c r="M63" s="1115" t="str">
        <f t="shared" si="1"/>
        <v/>
      </c>
      <c r="N63" s="1055"/>
      <c r="O63" s="1055"/>
      <c r="P63" s="1115" t="str">
        <f t="shared" si="2"/>
        <v/>
      </c>
      <c r="Q63" s="1055"/>
      <c r="R63" s="1055"/>
      <c r="S63" s="1115" t="str">
        <f t="shared" si="3"/>
        <v/>
      </c>
      <c r="T63" s="1054"/>
      <c r="U63" s="1055"/>
      <c r="V63" s="1253" t="str">
        <f t="shared" si="5"/>
        <v/>
      </c>
      <c r="W63" s="1048"/>
      <c r="X63" s="1048"/>
      <c r="Y63" s="1048"/>
      <c r="Z63" s="1048"/>
      <c r="AA63" s="1048"/>
      <c r="AB63" s="1048"/>
      <c r="AC63" s="1048"/>
      <c r="AD63" s="1048"/>
      <c r="AE63" s="1048"/>
      <c r="AF63" s="1048"/>
      <c r="AG63" s="1048"/>
      <c r="AH63" s="1048"/>
      <c r="AI63" s="1048"/>
      <c r="AJ63" s="1048"/>
      <c r="AK63" s="1048"/>
      <c r="AL63" s="1048"/>
      <c r="AM63" s="1048"/>
      <c r="AN63" s="1048"/>
      <c r="AO63" s="1048"/>
      <c r="AP63" s="1048"/>
      <c r="AQ63" s="1048"/>
    </row>
    <row r="64" spans="2:43" x14ac:dyDescent="0.25">
      <c r="B64" s="1064"/>
      <c r="C64" s="1065"/>
      <c r="D64" s="1064"/>
      <c r="E64" s="1069"/>
      <c r="F64" s="1069"/>
      <c r="G64" s="1052"/>
      <c r="H64" s="1055"/>
      <c r="I64" s="1055"/>
      <c r="J64" s="1114" t="str">
        <f t="shared" si="0"/>
        <v/>
      </c>
      <c r="K64" s="1055"/>
      <c r="L64" s="1055"/>
      <c r="M64" s="1115" t="str">
        <f t="shared" si="1"/>
        <v/>
      </c>
      <c r="N64" s="1055"/>
      <c r="O64" s="1055"/>
      <c r="P64" s="1115" t="str">
        <f t="shared" si="2"/>
        <v/>
      </c>
      <c r="Q64" s="1055"/>
      <c r="R64" s="1055"/>
      <c r="S64" s="1115" t="str">
        <f t="shared" si="3"/>
        <v/>
      </c>
      <c r="T64" s="1054"/>
      <c r="U64" s="1055"/>
      <c r="V64" s="1253" t="str">
        <f t="shared" si="5"/>
        <v/>
      </c>
      <c r="W64" s="1048"/>
      <c r="X64" s="1048"/>
      <c r="Y64" s="1048"/>
      <c r="Z64" s="1048"/>
      <c r="AA64" s="1048"/>
      <c r="AB64" s="1048"/>
      <c r="AC64" s="1048"/>
      <c r="AD64" s="1048"/>
      <c r="AE64" s="1048"/>
      <c r="AF64" s="1048"/>
      <c r="AG64" s="1048"/>
      <c r="AH64" s="1048"/>
      <c r="AI64" s="1048"/>
      <c r="AJ64" s="1048"/>
      <c r="AK64" s="1048"/>
      <c r="AL64" s="1048"/>
      <c r="AM64" s="1048"/>
      <c r="AN64" s="1048"/>
      <c r="AO64" s="1048"/>
      <c r="AP64" s="1048"/>
      <c r="AQ64" s="1048"/>
    </row>
    <row r="65" spans="2:43" x14ac:dyDescent="0.25">
      <c r="B65" s="1064"/>
      <c r="C65" s="1065"/>
      <c r="D65" s="1064"/>
      <c r="E65" s="1069"/>
      <c r="F65" s="1069"/>
      <c r="G65" s="1052"/>
      <c r="H65" s="1055"/>
      <c r="I65" s="1055"/>
      <c r="J65" s="1114" t="str">
        <f t="shared" si="0"/>
        <v/>
      </c>
      <c r="K65" s="1055"/>
      <c r="L65" s="1055"/>
      <c r="M65" s="1115" t="str">
        <f t="shared" si="1"/>
        <v/>
      </c>
      <c r="N65" s="1055"/>
      <c r="O65" s="1055"/>
      <c r="P65" s="1115" t="str">
        <f t="shared" si="2"/>
        <v/>
      </c>
      <c r="Q65" s="1055"/>
      <c r="R65" s="1055"/>
      <c r="S65" s="1115" t="str">
        <f t="shared" si="3"/>
        <v/>
      </c>
      <c r="T65" s="1054"/>
      <c r="U65" s="1055"/>
      <c r="V65" s="1253" t="str">
        <f t="shared" si="5"/>
        <v/>
      </c>
      <c r="W65" s="1048"/>
      <c r="X65" s="1048"/>
      <c r="Y65" s="1048"/>
      <c r="Z65" s="1048"/>
      <c r="AA65" s="1048"/>
      <c r="AB65" s="1048"/>
      <c r="AC65" s="1048"/>
      <c r="AD65" s="1048"/>
      <c r="AE65" s="1048"/>
      <c r="AF65" s="1048"/>
      <c r="AG65" s="1048"/>
      <c r="AH65" s="1048"/>
      <c r="AI65" s="1048"/>
      <c r="AJ65" s="1048"/>
      <c r="AK65" s="1048"/>
      <c r="AL65" s="1048"/>
      <c r="AM65" s="1048"/>
      <c r="AN65" s="1048"/>
      <c r="AO65" s="1048"/>
      <c r="AP65" s="1048"/>
      <c r="AQ65" s="1048"/>
    </row>
    <row r="66" spans="2:43" x14ac:dyDescent="0.25">
      <c r="B66" s="1064"/>
      <c r="C66" s="1065"/>
      <c r="D66" s="1064"/>
      <c r="E66" s="1069"/>
      <c r="F66" s="1069"/>
      <c r="G66" s="1052"/>
      <c r="H66" s="1055"/>
      <c r="I66" s="1055"/>
      <c r="J66" s="1114" t="str">
        <f t="shared" si="0"/>
        <v/>
      </c>
      <c r="K66" s="1055"/>
      <c r="L66" s="1055"/>
      <c r="M66" s="1115" t="str">
        <f t="shared" si="1"/>
        <v/>
      </c>
      <c r="N66" s="1055"/>
      <c r="O66" s="1055"/>
      <c r="P66" s="1115" t="str">
        <f t="shared" si="2"/>
        <v/>
      </c>
      <c r="Q66" s="1055"/>
      <c r="R66" s="1055"/>
      <c r="S66" s="1115" t="str">
        <f t="shared" si="3"/>
        <v/>
      </c>
      <c r="T66" s="1054"/>
      <c r="U66" s="1055"/>
      <c r="V66" s="1253" t="str">
        <f t="shared" si="5"/>
        <v/>
      </c>
      <c r="W66" s="1048"/>
      <c r="X66" s="1048"/>
      <c r="Y66" s="1048"/>
      <c r="Z66" s="1048"/>
      <c r="AA66" s="1048"/>
      <c r="AB66" s="1048"/>
      <c r="AC66" s="1048"/>
      <c r="AD66" s="1048"/>
      <c r="AE66" s="1048"/>
      <c r="AF66" s="1048"/>
      <c r="AG66" s="1048"/>
      <c r="AH66" s="1048"/>
      <c r="AI66" s="1048"/>
      <c r="AJ66" s="1048"/>
      <c r="AK66" s="1048"/>
      <c r="AL66" s="1048"/>
      <c r="AM66" s="1048"/>
      <c r="AN66" s="1048"/>
      <c r="AO66" s="1048"/>
      <c r="AP66" s="1048"/>
      <c r="AQ66" s="1048"/>
    </row>
    <row r="67" spans="2:43" x14ac:dyDescent="0.25">
      <c r="B67" s="1064"/>
      <c r="C67" s="1065"/>
      <c r="D67" s="1064"/>
      <c r="E67" s="1067"/>
      <c r="F67" s="1067"/>
      <c r="G67" s="1052"/>
      <c r="H67" s="1055"/>
      <c r="I67" s="1055"/>
      <c r="J67" s="1114" t="str">
        <f t="shared" si="0"/>
        <v/>
      </c>
      <c r="K67" s="1055"/>
      <c r="L67" s="1055"/>
      <c r="M67" s="1115" t="str">
        <f t="shared" si="1"/>
        <v/>
      </c>
      <c r="N67" s="1055"/>
      <c r="O67" s="1055"/>
      <c r="P67" s="1115" t="str">
        <f t="shared" si="2"/>
        <v/>
      </c>
      <c r="Q67" s="1055"/>
      <c r="R67" s="1055"/>
      <c r="S67" s="1115" t="str">
        <f t="shared" si="3"/>
        <v/>
      </c>
      <c r="T67" s="1054"/>
      <c r="U67" s="1055"/>
      <c r="V67" s="1253" t="str">
        <f t="shared" si="5"/>
        <v/>
      </c>
      <c r="W67" s="1048"/>
      <c r="X67" s="1048"/>
      <c r="Y67" s="1048"/>
      <c r="Z67" s="1048"/>
      <c r="AA67" s="1048"/>
      <c r="AB67" s="1048"/>
      <c r="AC67" s="1048"/>
      <c r="AD67" s="1048"/>
      <c r="AE67" s="1048"/>
      <c r="AF67" s="1048"/>
      <c r="AG67" s="1048"/>
      <c r="AH67" s="1048"/>
      <c r="AI67" s="1048"/>
      <c r="AJ67" s="1048"/>
      <c r="AK67" s="1048"/>
      <c r="AL67" s="1048"/>
      <c r="AM67" s="1048"/>
      <c r="AN67" s="1048"/>
      <c r="AO67" s="1048"/>
      <c r="AP67" s="1048"/>
      <c r="AQ67" s="1048"/>
    </row>
    <row r="68" spans="2:43" x14ac:dyDescent="0.25">
      <c r="B68" s="1064"/>
      <c r="C68" s="1065"/>
      <c r="D68" s="1064"/>
      <c r="E68" s="1067"/>
      <c r="F68" s="1067"/>
      <c r="G68" s="1052"/>
      <c r="H68" s="1055"/>
      <c r="I68" s="1055"/>
      <c r="J68" s="1114" t="str">
        <f t="shared" si="0"/>
        <v/>
      </c>
      <c r="K68" s="1055"/>
      <c r="L68" s="1055"/>
      <c r="M68" s="1115" t="str">
        <f t="shared" si="1"/>
        <v/>
      </c>
      <c r="N68" s="1055"/>
      <c r="O68" s="1055"/>
      <c r="P68" s="1115" t="str">
        <f t="shared" si="2"/>
        <v/>
      </c>
      <c r="Q68" s="1055"/>
      <c r="R68" s="1055"/>
      <c r="S68" s="1115" t="str">
        <f t="shared" si="3"/>
        <v/>
      </c>
      <c r="T68" s="1054"/>
      <c r="U68" s="1055"/>
      <c r="V68" s="1253" t="str">
        <f t="shared" si="5"/>
        <v/>
      </c>
      <c r="W68" s="1048"/>
      <c r="X68" s="1048"/>
      <c r="Y68" s="1048"/>
      <c r="Z68" s="1048"/>
      <c r="AA68" s="1048"/>
      <c r="AB68" s="1048"/>
      <c r="AC68" s="1048"/>
      <c r="AD68" s="1048"/>
      <c r="AE68" s="1048"/>
      <c r="AF68" s="1048"/>
      <c r="AG68" s="1048"/>
      <c r="AH68" s="1048"/>
      <c r="AI68" s="1048"/>
      <c r="AJ68" s="1048"/>
      <c r="AK68" s="1048"/>
      <c r="AL68" s="1048"/>
      <c r="AM68" s="1048"/>
      <c r="AN68" s="1048"/>
      <c r="AO68" s="1048"/>
      <c r="AP68" s="1048"/>
      <c r="AQ68" s="1048"/>
    </row>
    <row r="69" spans="2:43" x14ac:dyDescent="0.25">
      <c r="B69" s="1064"/>
      <c r="C69" s="1065"/>
      <c r="D69" s="1064"/>
      <c r="E69" s="1067"/>
      <c r="F69" s="1067"/>
      <c r="G69" s="1052"/>
      <c r="H69" s="1055"/>
      <c r="I69" s="1055"/>
      <c r="J69" s="1114" t="str">
        <f t="shared" si="0"/>
        <v/>
      </c>
      <c r="K69" s="1055"/>
      <c r="L69" s="1055"/>
      <c r="M69" s="1115" t="str">
        <f t="shared" si="1"/>
        <v/>
      </c>
      <c r="N69" s="1055"/>
      <c r="O69" s="1055"/>
      <c r="P69" s="1115" t="str">
        <f t="shared" si="2"/>
        <v/>
      </c>
      <c r="Q69" s="1055"/>
      <c r="R69" s="1055"/>
      <c r="S69" s="1115" t="str">
        <f t="shared" si="3"/>
        <v/>
      </c>
      <c r="T69" s="1054"/>
      <c r="U69" s="1055"/>
      <c r="V69" s="1253" t="str">
        <f t="shared" si="5"/>
        <v/>
      </c>
      <c r="W69" s="1048"/>
      <c r="X69" s="1048"/>
      <c r="Y69" s="1048"/>
      <c r="Z69" s="1048"/>
      <c r="AA69" s="1048"/>
      <c r="AB69" s="1048"/>
      <c r="AC69" s="1048"/>
      <c r="AD69" s="1048"/>
      <c r="AE69" s="1048"/>
      <c r="AF69" s="1048"/>
      <c r="AG69" s="1048"/>
      <c r="AH69" s="1048"/>
      <c r="AI69" s="1048"/>
      <c r="AJ69" s="1048"/>
      <c r="AK69" s="1048"/>
      <c r="AL69" s="1048"/>
      <c r="AM69" s="1048"/>
      <c r="AN69" s="1048"/>
      <c r="AO69" s="1048"/>
      <c r="AP69" s="1048"/>
      <c r="AQ69" s="1048"/>
    </row>
    <row r="70" spans="2:43" x14ac:dyDescent="0.25">
      <c r="B70" s="1064"/>
      <c r="C70" s="1065"/>
      <c r="D70" s="1064"/>
      <c r="E70" s="1067"/>
      <c r="F70" s="1067"/>
      <c r="G70" s="1052"/>
      <c r="H70" s="1055"/>
      <c r="I70" s="1055"/>
      <c r="J70" s="1114" t="str">
        <f t="shared" si="0"/>
        <v/>
      </c>
      <c r="K70" s="1055"/>
      <c r="L70" s="1055"/>
      <c r="M70" s="1115" t="str">
        <f t="shared" si="1"/>
        <v/>
      </c>
      <c r="N70" s="1055"/>
      <c r="O70" s="1055"/>
      <c r="P70" s="1115" t="str">
        <f t="shared" si="2"/>
        <v/>
      </c>
      <c r="Q70" s="1055"/>
      <c r="R70" s="1055"/>
      <c r="S70" s="1115" t="str">
        <f t="shared" si="3"/>
        <v/>
      </c>
      <c r="T70" s="1054"/>
      <c r="U70" s="1055"/>
      <c r="V70" s="1253" t="str">
        <f t="shared" si="5"/>
        <v/>
      </c>
      <c r="W70" s="1048"/>
      <c r="X70" s="1048"/>
      <c r="Y70" s="1048"/>
      <c r="Z70" s="1048"/>
      <c r="AA70" s="1048"/>
      <c r="AB70" s="1048"/>
      <c r="AC70" s="1048"/>
      <c r="AD70" s="1048"/>
      <c r="AE70" s="1048"/>
      <c r="AF70" s="1048"/>
      <c r="AG70" s="1048"/>
      <c r="AH70" s="1048"/>
      <c r="AI70" s="1048"/>
      <c r="AJ70" s="1048"/>
      <c r="AK70" s="1048"/>
      <c r="AL70" s="1048"/>
      <c r="AM70" s="1048"/>
      <c r="AN70" s="1048"/>
      <c r="AO70" s="1048"/>
      <c r="AP70" s="1048"/>
      <c r="AQ70" s="1048"/>
    </row>
    <row r="71" spans="2:43" x14ac:dyDescent="0.25">
      <c r="B71" s="1064"/>
      <c r="C71" s="1065"/>
      <c r="D71" s="1064"/>
      <c r="E71" s="1067"/>
      <c r="F71" s="1067"/>
      <c r="G71" s="1052"/>
      <c r="H71" s="1055"/>
      <c r="I71" s="1055"/>
      <c r="J71" s="1114" t="str">
        <f t="shared" si="0"/>
        <v/>
      </c>
      <c r="K71" s="1055"/>
      <c r="L71" s="1055"/>
      <c r="M71" s="1115" t="str">
        <f t="shared" si="1"/>
        <v/>
      </c>
      <c r="N71" s="1055"/>
      <c r="O71" s="1055"/>
      <c r="P71" s="1115" t="str">
        <f t="shared" si="2"/>
        <v/>
      </c>
      <c r="Q71" s="1055"/>
      <c r="R71" s="1055"/>
      <c r="S71" s="1115" t="str">
        <f t="shared" si="3"/>
        <v/>
      </c>
      <c r="T71" s="1054"/>
      <c r="U71" s="1055"/>
      <c r="V71" s="1253" t="str">
        <f t="shared" si="5"/>
        <v/>
      </c>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row>
    <row r="72" spans="2:43" x14ac:dyDescent="0.25">
      <c r="B72" s="1064"/>
      <c r="C72" s="1065"/>
      <c r="D72" s="1064"/>
      <c r="E72" s="1067"/>
      <c r="F72" s="1067"/>
      <c r="G72" s="1052"/>
      <c r="H72" s="1055"/>
      <c r="I72" s="1055"/>
      <c r="J72" s="1114" t="str">
        <f t="shared" si="0"/>
        <v/>
      </c>
      <c r="K72" s="1055"/>
      <c r="L72" s="1055"/>
      <c r="M72" s="1115" t="str">
        <f t="shared" si="1"/>
        <v/>
      </c>
      <c r="N72" s="1055"/>
      <c r="O72" s="1055"/>
      <c r="P72" s="1115" t="str">
        <f t="shared" si="2"/>
        <v/>
      </c>
      <c r="Q72" s="1055"/>
      <c r="R72" s="1055"/>
      <c r="S72" s="1115" t="str">
        <f t="shared" si="3"/>
        <v/>
      </c>
      <c r="T72" s="1054"/>
      <c r="U72" s="1055"/>
      <c r="V72" s="1253" t="str">
        <f t="shared" si="5"/>
        <v/>
      </c>
      <c r="W72" s="1048"/>
      <c r="X72" s="1048"/>
      <c r="Y72" s="1048"/>
      <c r="Z72" s="1048"/>
      <c r="AA72" s="1048"/>
      <c r="AB72" s="1048"/>
      <c r="AC72" s="1048"/>
      <c r="AD72" s="1048"/>
      <c r="AE72" s="1048"/>
      <c r="AF72" s="1048"/>
      <c r="AG72" s="1048"/>
      <c r="AH72" s="1048"/>
      <c r="AI72" s="1048"/>
      <c r="AJ72" s="1048"/>
      <c r="AK72" s="1048"/>
      <c r="AL72" s="1048"/>
      <c r="AM72" s="1048"/>
      <c r="AN72" s="1048"/>
      <c r="AO72" s="1048"/>
      <c r="AP72" s="1048"/>
      <c r="AQ72" s="1048"/>
    </row>
    <row r="73" spans="2:43" x14ac:dyDescent="0.25">
      <c r="B73" s="1064"/>
      <c r="C73" s="1065"/>
      <c r="D73" s="1064"/>
      <c r="E73" s="1067"/>
      <c r="F73" s="1067"/>
      <c r="G73" s="1052"/>
      <c r="H73" s="1055"/>
      <c r="I73" s="1055"/>
      <c r="J73" s="1114" t="str">
        <f t="shared" si="0"/>
        <v/>
      </c>
      <c r="K73" s="1055"/>
      <c r="L73" s="1055"/>
      <c r="M73" s="1115" t="str">
        <f t="shared" si="1"/>
        <v/>
      </c>
      <c r="N73" s="1055"/>
      <c r="O73" s="1055"/>
      <c r="P73" s="1115" t="str">
        <f t="shared" si="2"/>
        <v/>
      </c>
      <c r="Q73" s="1055"/>
      <c r="R73" s="1055"/>
      <c r="S73" s="1115" t="str">
        <f t="shared" si="3"/>
        <v/>
      </c>
      <c r="T73" s="1054"/>
      <c r="U73" s="1055"/>
      <c r="V73" s="1253" t="str">
        <f t="shared" si="5"/>
        <v/>
      </c>
      <c r="W73" s="1048"/>
      <c r="X73" s="1048"/>
      <c r="Y73" s="1048"/>
      <c r="Z73" s="1048"/>
      <c r="AA73" s="1048"/>
      <c r="AB73" s="1048"/>
      <c r="AC73" s="1048"/>
      <c r="AD73" s="1048"/>
      <c r="AE73" s="1048"/>
      <c r="AF73" s="1048"/>
      <c r="AG73" s="1048"/>
      <c r="AH73" s="1048"/>
      <c r="AI73" s="1048"/>
      <c r="AJ73" s="1048"/>
      <c r="AK73" s="1048"/>
      <c r="AL73" s="1048"/>
      <c r="AM73" s="1048"/>
      <c r="AN73" s="1048"/>
      <c r="AO73" s="1048"/>
      <c r="AP73" s="1048"/>
      <c r="AQ73" s="1048"/>
    </row>
    <row r="74" spans="2:43" x14ac:dyDescent="0.25">
      <c r="B74" s="1064"/>
      <c r="C74" s="1065"/>
      <c r="D74" s="1064"/>
      <c r="E74" s="1067"/>
      <c r="F74" s="1067"/>
      <c r="G74" s="1052"/>
      <c r="H74" s="1055"/>
      <c r="I74" s="1055"/>
      <c r="J74" s="1114" t="str">
        <f t="shared" si="0"/>
        <v/>
      </c>
      <c r="K74" s="1055"/>
      <c r="L74" s="1055"/>
      <c r="M74" s="1115" t="str">
        <f t="shared" si="1"/>
        <v/>
      </c>
      <c r="N74" s="1055"/>
      <c r="O74" s="1055"/>
      <c r="P74" s="1115" t="str">
        <f t="shared" si="2"/>
        <v/>
      </c>
      <c r="Q74" s="1055"/>
      <c r="R74" s="1055"/>
      <c r="S74" s="1115" t="str">
        <f t="shared" si="3"/>
        <v/>
      </c>
      <c r="T74" s="1054"/>
      <c r="U74" s="1055"/>
      <c r="V74" s="1253" t="str">
        <f t="shared" si="5"/>
        <v/>
      </c>
      <c r="W74" s="1048"/>
      <c r="X74" s="1048"/>
      <c r="Y74" s="1048"/>
      <c r="Z74" s="1048"/>
      <c r="AA74" s="1048"/>
      <c r="AB74" s="1048"/>
      <c r="AC74" s="1048"/>
      <c r="AD74" s="1048"/>
      <c r="AE74" s="1048"/>
      <c r="AF74" s="1048"/>
      <c r="AG74" s="1048"/>
      <c r="AH74" s="1048"/>
      <c r="AI74" s="1048"/>
      <c r="AJ74" s="1048"/>
      <c r="AK74" s="1048"/>
      <c r="AL74" s="1048"/>
      <c r="AM74" s="1048"/>
      <c r="AN74" s="1048"/>
      <c r="AO74" s="1048"/>
      <c r="AP74" s="1048"/>
      <c r="AQ74" s="1048"/>
    </row>
    <row r="75" spans="2:43" x14ac:dyDescent="0.25">
      <c r="B75" s="1064"/>
      <c r="C75" s="1065"/>
      <c r="D75" s="1064"/>
      <c r="E75" s="1067"/>
      <c r="F75" s="1067"/>
      <c r="G75" s="1052"/>
      <c r="H75" s="1055"/>
      <c r="I75" s="1055"/>
      <c r="J75" s="1114" t="str">
        <f t="shared" si="0"/>
        <v/>
      </c>
      <c r="K75" s="1055"/>
      <c r="L75" s="1055"/>
      <c r="M75" s="1115" t="str">
        <f t="shared" si="1"/>
        <v/>
      </c>
      <c r="N75" s="1055"/>
      <c r="O75" s="1055"/>
      <c r="P75" s="1115" t="str">
        <f t="shared" si="2"/>
        <v/>
      </c>
      <c r="Q75" s="1055"/>
      <c r="R75" s="1055"/>
      <c r="S75" s="1115" t="str">
        <f t="shared" si="3"/>
        <v/>
      </c>
      <c r="T75" s="1054"/>
      <c r="U75" s="1055"/>
      <c r="V75" s="1253" t="str">
        <f t="shared" si="5"/>
        <v/>
      </c>
      <c r="W75" s="1048"/>
      <c r="X75" s="1048"/>
      <c r="Y75" s="1048"/>
      <c r="Z75" s="1048"/>
      <c r="AA75" s="1048"/>
      <c r="AB75" s="1048"/>
      <c r="AC75" s="1048"/>
      <c r="AD75" s="1048"/>
      <c r="AE75" s="1048"/>
      <c r="AF75" s="1048"/>
      <c r="AG75" s="1048"/>
      <c r="AH75" s="1048"/>
      <c r="AI75" s="1048"/>
      <c r="AJ75" s="1048"/>
      <c r="AK75" s="1048"/>
      <c r="AL75" s="1048"/>
      <c r="AM75" s="1048"/>
      <c r="AN75" s="1048"/>
      <c r="AO75" s="1048"/>
      <c r="AP75" s="1048"/>
      <c r="AQ75" s="1048"/>
    </row>
    <row r="76" spans="2:43" x14ac:dyDescent="0.25">
      <c r="B76" s="1064"/>
      <c r="C76" s="1065"/>
      <c r="D76" s="1064"/>
      <c r="E76" s="1067"/>
      <c r="F76" s="1067"/>
      <c r="G76" s="1052"/>
      <c r="H76" s="1055"/>
      <c r="I76" s="1055"/>
      <c r="J76" s="1114" t="str">
        <f t="shared" si="0"/>
        <v/>
      </c>
      <c r="K76" s="1055"/>
      <c r="L76" s="1055"/>
      <c r="M76" s="1115" t="str">
        <f t="shared" si="1"/>
        <v/>
      </c>
      <c r="N76" s="1055"/>
      <c r="O76" s="1055"/>
      <c r="P76" s="1115" t="str">
        <f t="shared" si="2"/>
        <v/>
      </c>
      <c r="Q76" s="1055"/>
      <c r="R76" s="1055"/>
      <c r="S76" s="1115" t="str">
        <f t="shared" si="3"/>
        <v/>
      </c>
      <c r="T76" s="1054"/>
      <c r="U76" s="1055"/>
      <c r="V76" s="1253" t="str">
        <f t="shared" si="5"/>
        <v/>
      </c>
      <c r="W76" s="1048"/>
      <c r="X76" s="1048"/>
      <c r="Y76" s="1048"/>
      <c r="Z76" s="1048"/>
      <c r="AA76" s="1048"/>
      <c r="AB76" s="1048"/>
      <c r="AC76" s="1048"/>
      <c r="AD76" s="1048"/>
      <c r="AE76" s="1048"/>
      <c r="AF76" s="1048"/>
      <c r="AG76" s="1048"/>
      <c r="AH76" s="1048"/>
      <c r="AI76" s="1048"/>
      <c r="AJ76" s="1048"/>
      <c r="AK76" s="1048"/>
      <c r="AL76" s="1048"/>
      <c r="AM76" s="1048"/>
      <c r="AN76" s="1048"/>
      <c r="AO76" s="1048"/>
      <c r="AP76" s="1048"/>
      <c r="AQ76" s="1048"/>
    </row>
    <row r="77" spans="2:43" x14ac:dyDescent="0.25">
      <c r="B77" s="1064"/>
      <c r="C77" s="1065"/>
      <c r="D77" s="1064"/>
      <c r="E77" s="1067"/>
      <c r="F77" s="1067"/>
      <c r="G77" s="1052"/>
      <c r="H77" s="1055"/>
      <c r="I77" s="1055"/>
      <c r="J77" s="1114" t="str">
        <f t="shared" si="0"/>
        <v/>
      </c>
      <c r="K77" s="1055"/>
      <c r="L77" s="1055"/>
      <c r="M77" s="1115" t="str">
        <f t="shared" si="1"/>
        <v/>
      </c>
      <c r="N77" s="1055"/>
      <c r="O77" s="1055"/>
      <c r="P77" s="1115" t="str">
        <f t="shared" si="2"/>
        <v/>
      </c>
      <c r="Q77" s="1055"/>
      <c r="R77" s="1055"/>
      <c r="S77" s="1115" t="str">
        <f t="shared" si="3"/>
        <v/>
      </c>
      <c r="T77" s="1054"/>
      <c r="U77" s="1055"/>
      <c r="V77" s="1253" t="str">
        <f t="shared" si="5"/>
        <v/>
      </c>
      <c r="W77" s="1048"/>
      <c r="X77" s="1048"/>
      <c r="Y77" s="1048"/>
      <c r="Z77" s="1048"/>
      <c r="AA77" s="1048"/>
      <c r="AB77" s="1048"/>
      <c r="AC77" s="1048"/>
      <c r="AD77" s="1048"/>
      <c r="AE77" s="1048"/>
      <c r="AF77" s="1048"/>
      <c r="AG77" s="1048"/>
      <c r="AH77" s="1048"/>
      <c r="AI77" s="1048"/>
      <c r="AJ77" s="1048"/>
      <c r="AK77" s="1048"/>
      <c r="AL77" s="1048"/>
      <c r="AM77" s="1048"/>
      <c r="AN77" s="1048"/>
      <c r="AO77" s="1048"/>
      <c r="AP77" s="1048"/>
      <c r="AQ77" s="1048"/>
    </row>
    <row r="78" spans="2:43" x14ac:dyDescent="0.25">
      <c r="B78" s="1064"/>
      <c r="C78" s="1065"/>
      <c r="D78" s="1064"/>
      <c r="E78" s="1067"/>
      <c r="F78" s="1067"/>
      <c r="G78" s="1052"/>
      <c r="H78" s="1055"/>
      <c r="I78" s="1055"/>
      <c r="J78" s="1114" t="str">
        <f t="shared" si="0"/>
        <v/>
      </c>
      <c r="K78" s="1055"/>
      <c r="L78" s="1055"/>
      <c r="M78" s="1115" t="str">
        <f t="shared" si="1"/>
        <v/>
      </c>
      <c r="N78" s="1055"/>
      <c r="O78" s="1055"/>
      <c r="P78" s="1115" t="str">
        <f t="shared" si="2"/>
        <v/>
      </c>
      <c r="Q78" s="1055"/>
      <c r="R78" s="1055"/>
      <c r="S78" s="1115" t="str">
        <f t="shared" si="3"/>
        <v/>
      </c>
      <c r="T78" s="1054"/>
      <c r="U78" s="1055"/>
      <c r="V78" s="1253" t="str">
        <f t="shared" si="5"/>
        <v/>
      </c>
      <c r="W78" s="1048"/>
      <c r="X78" s="1048"/>
      <c r="Y78" s="1048"/>
      <c r="Z78" s="1048"/>
      <c r="AA78" s="1048"/>
      <c r="AB78" s="1048"/>
      <c r="AC78" s="1048"/>
      <c r="AD78" s="1048"/>
      <c r="AE78" s="1048"/>
      <c r="AF78" s="1048"/>
      <c r="AG78" s="1048"/>
      <c r="AH78" s="1048"/>
      <c r="AI78" s="1048"/>
      <c r="AJ78" s="1048"/>
      <c r="AK78" s="1048"/>
      <c r="AL78" s="1048"/>
      <c r="AM78" s="1048"/>
      <c r="AN78" s="1048"/>
      <c r="AO78" s="1048"/>
      <c r="AP78" s="1048"/>
      <c r="AQ78" s="1048"/>
    </row>
    <row r="79" spans="2:43" x14ac:dyDescent="0.25">
      <c r="B79" s="1064"/>
      <c r="C79" s="1065"/>
      <c r="D79" s="1064"/>
      <c r="E79" s="1067"/>
      <c r="F79" s="1067"/>
      <c r="G79" s="1052"/>
      <c r="H79" s="1055"/>
      <c r="I79" s="1055"/>
      <c r="J79" s="1114" t="str">
        <f t="shared" si="0"/>
        <v/>
      </c>
      <c r="K79" s="1055"/>
      <c r="L79" s="1055"/>
      <c r="M79" s="1115" t="str">
        <f t="shared" si="1"/>
        <v/>
      </c>
      <c r="N79" s="1055"/>
      <c r="O79" s="1055"/>
      <c r="P79" s="1115" t="str">
        <f t="shared" si="2"/>
        <v/>
      </c>
      <c r="Q79" s="1055"/>
      <c r="R79" s="1055"/>
      <c r="S79" s="1115" t="str">
        <f t="shared" si="3"/>
        <v/>
      </c>
      <c r="T79" s="1054"/>
      <c r="U79" s="1055"/>
      <c r="V79" s="1253" t="str">
        <f t="shared" si="5"/>
        <v/>
      </c>
      <c r="W79" s="1048"/>
      <c r="X79" s="1048"/>
      <c r="Y79" s="1048"/>
      <c r="Z79" s="1048"/>
      <c r="AA79" s="1048"/>
      <c r="AB79" s="1048"/>
      <c r="AC79" s="1048"/>
      <c r="AD79" s="1048"/>
      <c r="AE79" s="1048"/>
      <c r="AF79" s="1048"/>
      <c r="AG79" s="1048"/>
      <c r="AH79" s="1048"/>
      <c r="AI79" s="1048"/>
      <c r="AJ79" s="1048"/>
      <c r="AK79" s="1048"/>
      <c r="AL79" s="1048"/>
      <c r="AM79" s="1048"/>
      <c r="AN79" s="1048"/>
      <c r="AO79" s="1048"/>
      <c r="AP79" s="1048"/>
      <c r="AQ79" s="1048"/>
    </row>
    <row r="80" spans="2:43" x14ac:dyDescent="0.25">
      <c r="B80" s="1064"/>
      <c r="C80" s="1065"/>
      <c r="D80" s="1064"/>
      <c r="E80" s="1067"/>
      <c r="F80" s="1067"/>
      <c r="G80" s="1052"/>
      <c r="H80" s="1055"/>
      <c r="I80" s="1055"/>
      <c r="J80" s="1114" t="str">
        <f t="shared" si="0"/>
        <v/>
      </c>
      <c r="K80" s="1055"/>
      <c r="L80" s="1055"/>
      <c r="M80" s="1115" t="str">
        <f t="shared" si="1"/>
        <v/>
      </c>
      <c r="N80" s="1055"/>
      <c r="O80" s="1055"/>
      <c r="P80" s="1115" t="str">
        <f t="shared" si="2"/>
        <v/>
      </c>
      <c r="Q80" s="1055"/>
      <c r="R80" s="1055"/>
      <c r="S80" s="1115" t="str">
        <f t="shared" si="3"/>
        <v/>
      </c>
      <c r="T80" s="1054"/>
      <c r="U80" s="1055"/>
      <c r="V80" s="1253" t="str">
        <f t="shared" si="5"/>
        <v/>
      </c>
      <c r="W80" s="1048"/>
      <c r="X80" s="1048"/>
      <c r="Y80" s="1048"/>
      <c r="Z80" s="1048"/>
      <c r="AA80" s="1048"/>
      <c r="AB80" s="1048"/>
      <c r="AC80" s="1048"/>
      <c r="AD80" s="1048"/>
      <c r="AE80" s="1048"/>
      <c r="AF80" s="1048"/>
      <c r="AG80" s="1048"/>
      <c r="AH80" s="1048"/>
      <c r="AI80" s="1048"/>
      <c r="AJ80" s="1048"/>
      <c r="AK80" s="1048"/>
      <c r="AL80" s="1048"/>
      <c r="AM80" s="1048"/>
      <c r="AN80" s="1048"/>
      <c r="AO80" s="1048"/>
      <c r="AP80" s="1048"/>
      <c r="AQ80" s="1048"/>
    </row>
    <row r="81" spans="2:43" x14ac:dyDescent="0.25">
      <c r="B81" s="1064"/>
      <c r="C81" s="1065"/>
      <c r="D81" s="1064"/>
      <c r="E81" s="1067"/>
      <c r="F81" s="1067"/>
      <c r="G81" s="1052"/>
      <c r="H81" s="1055"/>
      <c r="I81" s="1055"/>
      <c r="J81" s="1114" t="str">
        <f t="shared" si="0"/>
        <v/>
      </c>
      <c r="K81" s="1055"/>
      <c r="L81" s="1055"/>
      <c r="M81" s="1115" t="str">
        <f t="shared" si="1"/>
        <v/>
      </c>
      <c r="N81" s="1055"/>
      <c r="O81" s="1055"/>
      <c r="P81" s="1115" t="str">
        <f t="shared" si="2"/>
        <v/>
      </c>
      <c r="Q81" s="1055"/>
      <c r="R81" s="1055"/>
      <c r="S81" s="1115" t="str">
        <f t="shared" si="3"/>
        <v/>
      </c>
      <c r="T81" s="1054"/>
      <c r="U81" s="1055"/>
      <c r="V81" s="1253" t="str">
        <f t="shared" si="5"/>
        <v/>
      </c>
      <c r="W81" s="1048"/>
      <c r="X81" s="1048"/>
      <c r="Y81" s="1048"/>
      <c r="Z81" s="1048"/>
      <c r="AA81" s="1048"/>
      <c r="AB81" s="1048"/>
      <c r="AC81" s="1048"/>
      <c r="AD81" s="1048"/>
      <c r="AE81" s="1048"/>
      <c r="AF81" s="1048"/>
      <c r="AG81" s="1048"/>
      <c r="AH81" s="1048"/>
      <c r="AI81" s="1048"/>
      <c r="AJ81" s="1048"/>
      <c r="AK81" s="1048"/>
      <c r="AL81" s="1048"/>
      <c r="AM81" s="1048"/>
      <c r="AN81" s="1048"/>
      <c r="AO81" s="1048"/>
      <c r="AP81" s="1048"/>
      <c r="AQ81" s="1048"/>
    </row>
    <row r="82" spans="2:43" x14ac:dyDescent="0.25">
      <c r="B82" s="1064"/>
      <c r="C82" s="1065"/>
      <c r="D82" s="1064"/>
      <c r="E82" s="1067"/>
      <c r="F82" s="1067"/>
      <c r="G82" s="1052"/>
      <c r="H82" s="1055"/>
      <c r="I82" s="1055"/>
      <c r="J82" s="1114" t="str">
        <f t="shared" si="0"/>
        <v/>
      </c>
      <c r="K82" s="1055"/>
      <c r="L82" s="1055"/>
      <c r="M82" s="1115" t="str">
        <f t="shared" si="1"/>
        <v/>
      </c>
      <c r="N82" s="1055"/>
      <c r="O82" s="1055"/>
      <c r="P82" s="1115" t="str">
        <f t="shared" si="2"/>
        <v/>
      </c>
      <c r="Q82" s="1055"/>
      <c r="R82" s="1055"/>
      <c r="S82" s="1115" t="str">
        <f t="shared" si="3"/>
        <v/>
      </c>
      <c r="T82" s="1054"/>
      <c r="U82" s="1055"/>
      <c r="V82" s="1253" t="str">
        <f t="shared" si="5"/>
        <v/>
      </c>
      <c r="W82" s="1048"/>
      <c r="X82" s="1048"/>
      <c r="Y82" s="1048"/>
      <c r="Z82" s="1048"/>
      <c r="AA82" s="1048"/>
      <c r="AB82" s="1048"/>
      <c r="AC82" s="1048"/>
      <c r="AD82" s="1048"/>
      <c r="AE82" s="1048"/>
      <c r="AF82" s="1048"/>
      <c r="AG82" s="1048"/>
      <c r="AH82" s="1048"/>
      <c r="AI82" s="1048"/>
      <c r="AJ82" s="1048"/>
      <c r="AK82" s="1048"/>
      <c r="AL82" s="1048"/>
      <c r="AM82" s="1048"/>
      <c r="AN82" s="1048"/>
      <c r="AO82" s="1048"/>
      <c r="AP82" s="1048"/>
      <c r="AQ82" s="1048"/>
    </row>
    <row r="83" spans="2:43" x14ac:dyDescent="0.25">
      <c r="B83" s="1064"/>
      <c r="C83" s="1065"/>
      <c r="D83" s="1064"/>
      <c r="E83" s="1067"/>
      <c r="F83" s="1067"/>
      <c r="G83" s="1052"/>
      <c r="H83" s="1055"/>
      <c r="I83" s="1055"/>
      <c r="J83" s="1114" t="str">
        <f t="shared" si="0"/>
        <v/>
      </c>
      <c r="K83" s="1055"/>
      <c r="L83" s="1055"/>
      <c r="M83" s="1115" t="str">
        <f t="shared" si="1"/>
        <v/>
      </c>
      <c r="N83" s="1055"/>
      <c r="O83" s="1055"/>
      <c r="P83" s="1115" t="str">
        <f t="shared" si="2"/>
        <v/>
      </c>
      <c r="Q83" s="1055"/>
      <c r="R83" s="1055"/>
      <c r="S83" s="1115" t="str">
        <f t="shared" si="3"/>
        <v/>
      </c>
      <c r="T83" s="1054"/>
      <c r="U83" s="1055"/>
      <c r="V83" s="1253" t="str">
        <f t="shared" si="5"/>
        <v/>
      </c>
      <c r="W83" s="1048"/>
      <c r="X83" s="1048"/>
      <c r="Y83" s="1048"/>
      <c r="Z83" s="1048"/>
      <c r="AA83" s="1048"/>
      <c r="AB83" s="1048"/>
      <c r="AC83" s="1048"/>
      <c r="AD83" s="1048"/>
      <c r="AE83" s="1048"/>
      <c r="AF83" s="1048"/>
      <c r="AG83" s="1048"/>
      <c r="AH83" s="1048"/>
      <c r="AI83" s="1048"/>
      <c r="AJ83" s="1048"/>
      <c r="AK83" s="1048"/>
      <c r="AL83" s="1048"/>
      <c r="AM83" s="1048"/>
      <c r="AN83" s="1048"/>
      <c r="AO83" s="1048"/>
      <c r="AP83" s="1048"/>
      <c r="AQ83" s="1048"/>
    </row>
    <row r="84" spans="2:43" x14ac:dyDescent="0.25">
      <c r="B84" s="1064"/>
      <c r="C84" s="1065"/>
      <c r="D84" s="1064"/>
      <c r="E84" s="1067"/>
      <c r="F84" s="1067"/>
      <c r="G84" s="1052"/>
      <c r="H84" s="1055"/>
      <c r="I84" s="1055"/>
      <c r="J84" s="1114" t="str">
        <f t="shared" si="0"/>
        <v/>
      </c>
      <c r="K84" s="1055"/>
      <c r="L84" s="1055"/>
      <c r="M84" s="1115" t="str">
        <f t="shared" si="1"/>
        <v/>
      </c>
      <c r="N84" s="1055"/>
      <c r="O84" s="1055"/>
      <c r="P84" s="1115" t="str">
        <f t="shared" si="2"/>
        <v/>
      </c>
      <c r="Q84" s="1055"/>
      <c r="R84" s="1055"/>
      <c r="S84" s="1115" t="str">
        <f t="shared" si="3"/>
        <v/>
      </c>
      <c r="T84" s="1054"/>
      <c r="U84" s="1055"/>
      <c r="V84" s="1253" t="str">
        <f t="shared" si="5"/>
        <v/>
      </c>
      <c r="W84" s="1048"/>
      <c r="X84" s="1048"/>
      <c r="Y84" s="1048"/>
      <c r="Z84" s="1048"/>
      <c r="AA84" s="1048"/>
      <c r="AB84" s="1048"/>
      <c r="AC84" s="1048"/>
      <c r="AD84" s="1048"/>
      <c r="AE84" s="1048"/>
      <c r="AF84" s="1048"/>
      <c r="AG84" s="1048"/>
      <c r="AH84" s="1048"/>
      <c r="AI84" s="1048"/>
      <c r="AJ84" s="1048"/>
      <c r="AK84" s="1048"/>
      <c r="AL84" s="1048"/>
      <c r="AM84" s="1048"/>
      <c r="AN84" s="1048"/>
      <c r="AO84" s="1048"/>
      <c r="AP84" s="1048"/>
      <c r="AQ84" s="1048"/>
    </row>
    <row r="85" spans="2:43" x14ac:dyDescent="0.25">
      <c r="B85" s="1064"/>
      <c r="C85" s="1065"/>
      <c r="D85" s="1064"/>
      <c r="E85" s="1067"/>
      <c r="F85" s="1067"/>
      <c r="G85" s="1052"/>
      <c r="H85" s="1055"/>
      <c r="I85" s="1055"/>
      <c r="J85" s="1114" t="str">
        <f t="shared" si="0"/>
        <v/>
      </c>
      <c r="K85" s="1055"/>
      <c r="L85" s="1055"/>
      <c r="M85" s="1115" t="str">
        <f t="shared" si="1"/>
        <v/>
      </c>
      <c r="N85" s="1055"/>
      <c r="O85" s="1055"/>
      <c r="P85" s="1115" t="str">
        <f t="shared" si="2"/>
        <v/>
      </c>
      <c r="Q85" s="1055"/>
      <c r="R85" s="1055"/>
      <c r="S85" s="1115" t="str">
        <f t="shared" si="3"/>
        <v/>
      </c>
      <c r="T85" s="1054"/>
      <c r="U85" s="1055"/>
      <c r="V85" s="1253" t="str">
        <f t="shared" si="5"/>
        <v/>
      </c>
      <c r="W85" s="1048"/>
      <c r="X85" s="1048"/>
      <c r="Y85" s="1048"/>
      <c r="Z85" s="1048"/>
      <c r="AA85" s="1048"/>
      <c r="AB85" s="1048"/>
      <c r="AC85" s="1048"/>
      <c r="AD85" s="1048"/>
      <c r="AE85" s="1048"/>
      <c r="AF85" s="1048"/>
      <c r="AG85" s="1048"/>
      <c r="AH85" s="1048"/>
      <c r="AI85" s="1048"/>
      <c r="AJ85" s="1048"/>
      <c r="AK85" s="1048"/>
      <c r="AL85" s="1048"/>
      <c r="AM85" s="1048"/>
      <c r="AN85" s="1048"/>
      <c r="AO85" s="1048"/>
      <c r="AP85" s="1048"/>
      <c r="AQ85" s="1048"/>
    </row>
    <row r="86" spans="2:43" x14ac:dyDescent="0.25">
      <c r="B86" s="1064"/>
      <c r="C86" s="1065"/>
      <c r="D86" s="1064"/>
      <c r="E86" s="1067"/>
      <c r="F86" s="1067"/>
      <c r="G86" s="1052"/>
      <c r="H86" s="1055"/>
      <c r="I86" s="1055"/>
      <c r="J86" s="1114" t="str">
        <f t="shared" si="0"/>
        <v/>
      </c>
      <c r="K86" s="1055"/>
      <c r="L86" s="1055"/>
      <c r="M86" s="1115" t="str">
        <f t="shared" si="1"/>
        <v/>
      </c>
      <c r="N86" s="1055"/>
      <c r="O86" s="1055"/>
      <c r="P86" s="1115" t="str">
        <f t="shared" si="2"/>
        <v/>
      </c>
      <c r="Q86" s="1055"/>
      <c r="R86" s="1055"/>
      <c r="S86" s="1115" t="str">
        <f t="shared" si="3"/>
        <v/>
      </c>
      <c r="T86" s="1054"/>
      <c r="U86" s="1055"/>
      <c r="V86" s="1253" t="str">
        <f t="shared" si="5"/>
        <v/>
      </c>
      <c r="W86" s="1048"/>
      <c r="X86" s="1048"/>
      <c r="Y86" s="1048"/>
      <c r="Z86" s="1048"/>
      <c r="AA86" s="1048"/>
      <c r="AB86" s="1048"/>
      <c r="AC86" s="1048"/>
      <c r="AD86" s="1048"/>
      <c r="AE86" s="1048"/>
      <c r="AF86" s="1048"/>
      <c r="AG86" s="1048"/>
      <c r="AH86" s="1048"/>
      <c r="AI86" s="1048"/>
      <c r="AJ86" s="1048"/>
      <c r="AK86" s="1048"/>
      <c r="AL86" s="1048"/>
      <c r="AM86" s="1048"/>
      <c r="AN86" s="1048"/>
      <c r="AO86" s="1048"/>
      <c r="AP86" s="1048"/>
      <c r="AQ86" s="1048"/>
    </row>
    <row r="87" spans="2:43" x14ac:dyDescent="0.25">
      <c r="B87" s="1064"/>
      <c r="C87" s="1065"/>
      <c r="D87" s="1064"/>
      <c r="E87" s="1067"/>
      <c r="F87" s="1067"/>
      <c r="G87" s="1052"/>
      <c r="H87" s="1055"/>
      <c r="I87" s="1055"/>
      <c r="J87" s="1114" t="str">
        <f t="shared" si="0"/>
        <v/>
      </c>
      <c r="K87" s="1055"/>
      <c r="L87" s="1055"/>
      <c r="M87" s="1115" t="str">
        <f t="shared" si="1"/>
        <v/>
      </c>
      <c r="N87" s="1055"/>
      <c r="O87" s="1055"/>
      <c r="P87" s="1115" t="str">
        <f t="shared" si="2"/>
        <v/>
      </c>
      <c r="Q87" s="1055"/>
      <c r="R87" s="1055"/>
      <c r="S87" s="1115" t="str">
        <f t="shared" si="3"/>
        <v/>
      </c>
      <c r="T87" s="1054"/>
      <c r="U87" s="1055"/>
      <c r="V87" s="1253" t="str">
        <f t="shared" si="5"/>
        <v/>
      </c>
      <c r="W87" s="1048"/>
      <c r="X87" s="1048"/>
      <c r="Y87" s="1048"/>
      <c r="Z87" s="1048"/>
      <c r="AA87" s="1048"/>
      <c r="AB87" s="1048"/>
      <c r="AC87" s="1048"/>
      <c r="AD87" s="1048"/>
      <c r="AE87" s="1048"/>
      <c r="AF87" s="1048"/>
      <c r="AG87" s="1048"/>
      <c r="AH87" s="1048"/>
      <c r="AI87" s="1048"/>
      <c r="AJ87" s="1048"/>
      <c r="AK87" s="1048"/>
      <c r="AL87" s="1048"/>
      <c r="AM87" s="1048"/>
      <c r="AN87" s="1048"/>
      <c r="AO87" s="1048"/>
      <c r="AP87" s="1048"/>
      <c r="AQ87" s="1048"/>
    </row>
    <row r="88" spans="2:43" x14ac:dyDescent="0.25">
      <c r="B88" s="1064"/>
      <c r="C88" s="1065"/>
      <c r="D88" s="1064"/>
      <c r="E88" s="1067"/>
      <c r="F88" s="1067"/>
      <c r="G88" s="1052"/>
      <c r="H88" s="1055"/>
      <c r="I88" s="1055"/>
      <c r="J88" s="1114" t="str">
        <f t="shared" si="0"/>
        <v/>
      </c>
      <c r="K88" s="1055"/>
      <c r="L88" s="1055"/>
      <c r="M88" s="1115" t="str">
        <f t="shared" si="1"/>
        <v/>
      </c>
      <c r="N88" s="1055"/>
      <c r="O88" s="1055"/>
      <c r="P88" s="1115" t="str">
        <f t="shared" si="2"/>
        <v/>
      </c>
      <c r="Q88" s="1055"/>
      <c r="R88" s="1055"/>
      <c r="S88" s="1115" t="str">
        <f t="shared" si="3"/>
        <v/>
      </c>
      <c r="T88" s="1054"/>
      <c r="U88" s="1055"/>
      <c r="V88" s="1253" t="str">
        <f t="shared" si="5"/>
        <v/>
      </c>
      <c r="W88" s="1048"/>
      <c r="X88" s="1048"/>
      <c r="Y88" s="1048"/>
      <c r="Z88" s="1048"/>
      <c r="AA88" s="1048"/>
      <c r="AB88" s="1048"/>
      <c r="AC88" s="1048"/>
      <c r="AD88" s="1048"/>
      <c r="AE88" s="1048"/>
      <c r="AF88" s="1048"/>
      <c r="AG88" s="1048"/>
      <c r="AH88" s="1048"/>
      <c r="AI88" s="1048"/>
      <c r="AJ88" s="1048"/>
      <c r="AK88" s="1048"/>
      <c r="AL88" s="1048"/>
      <c r="AM88" s="1048"/>
      <c r="AN88" s="1048"/>
      <c r="AO88" s="1048"/>
      <c r="AP88" s="1048"/>
      <c r="AQ88" s="1048"/>
    </row>
    <row r="89" spans="2:43" x14ac:dyDescent="0.25">
      <c r="B89" s="1064"/>
      <c r="C89" s="1065"/>
      <c r="D89" s="1064"/>
      <c r="E89" s="1067"/>
      <c r="F89" s="1067"/>
      <c r="G89" s="1052"/>
      <c r="H89" s="1055"/>
      <c r="I89" s="1055"/>
      <c r="J89" s="1114" t="str">
        <f t="shared" si="0"/>
        <v/>
      </c>
      <c r="K89" s="1055"/>
      <c r="L89" s="1055"/>
      <c r="M89" s="1115" t="str">
        <f t="shared" si="1"/>
        <v/>
      </c>
      <c r="N89" s="1055"/>
      <c r="O89" s="1055"/>
      <c r="P89" s="1115" t="str">
        <f t="shared" si="2"/>
        <v/>
      </c>
      <c r="Q89" s="1055"/>
      <c r="R89" s="1055"/>
      <c r="S89" s="1115" t="str">
        <f t="shared" si="3"/>
        <v/>
      </c>
      <c r="T89" s="1054"/>
      <c r="U89" s="1055"/>
      <c r="V89" s="1253" t="str">
        <f t="shared" si="5"/>
        <v/>
      </c>
      <c r="W89" s="1048"/>
      <c r="X89" s="1048"/>
      <c r="Y89" s="1048"/>
      <c r="Z89" s="1048"/>
      <c r="AA89" s="1048"/>
      <c r="AB89" s="1048"/>
      <c r="AC89" s="1048"/>
      <c r="AD89" s="1048"/>
      <c r="AE89" s="1048"/>
      <c r="AF89" s="1048"/>
      <c r="AG89" s="1048"/>
      <c r="AH89" s="1048"/>
      <c r="AI89" s="1048"/>
      <c r="AJ89" s="1048"/>
      <c r="AK89" s="1048"/>
      <c r="AL89" s="1048"/>
      <c r="AM89" s="1048"/>
      <c r="AN89" s="1048"/>
      <c r="AO89" s="1048"/>
      <c r="AP89" s="1048"/>
      <c r="AQ89" s="1048"/>
    </row>
    <row r="90" spans="2:43" x14ac:dyDescent="0.25">
      <c r="B90" s="1064"/>
      <c r="C90" s="1065"/>
      <c r="D90" s="1064"/>
      <c r="E90" s="1067"/>
      <c r="F90" s="1067"/>
      <c r="G90" s="1052"/>
      <c r="H90" s="1055"/>
      <c r="I90" s="1055"/>
      <c r="J90" s="1114" t="str">
        <f t="shared" ref="J90:J153" si="6">IF(AND(H90=0,I90=0),"",IF(I90&lt;&gt;0,IF(I90&gt;H90,100,I90/H90*100),0))</f>
        <v/>
      </c>
      <c r="K90" s="1055"/>
      <c r="L90" s="1055"/>
      <c r="M90" s="1115" t="str">
        <f t="shared" ref="M90:M153" si="7">IF(AND(K90=0,L90=0),"",IF(L90&lt;&gt;0,IF(L90&gt;K90,100,L90/K90*100),0))</f>
        <v/>
      </c>
      <c r="N90" s="1055"/>
      <c r="O90" s="1055"/>
      <c r="P90" s="1115" t="str">
        <f t="shared" ref="P90:P153" si="8">IF(AND(N90=0,O90=0),"",IF(O90&lt;&gt;0,IF(O90&gt;N90,100,O90/N90*100),0))</f>
        <v/>
      </c>
      <c r="Q90" s="1055"/>
      <c r="R90" s="1055"/>
      <c r="S90" s="1115" t="str">
        <f t="shared" ref="S90:S153" si="9">IF(AND(Q90=0,R90=0),"",IF(R90&lt;&gt;0,IF(R90&lt;=Q90,100,100-(R90-Q90)),0))</f>
        <v/>
      </c>
      <c r="T90" s="1054"/>
      <c r="U90" s="1055"/>
      <c r="V90" s="1253" t="str">
        <f t="shared" ref="V90:V153" si="10">IF(AND(T90=0,U90=0),"",IF(U90&lt;&gt;0,IF(U90&gt;T90,100,U90/T90*100),0))</f>
        <v/>
      </c>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row>
    <row r="91" spans="2:43" x14ac:dyDescent="0.25">
      <c r="B91" s="1064"/>
      <c r="C91" s="1065"/>
      <c r="D91" s="1064"/>
      <c r="E91" s="1067"/>
      <c r="F91" s="1067"/>
      <c r="G91" s="1052"/>
      <c r="H91" s="1055"/>
      <c r="I91" s="1055"/>
      <c r="J91" s="1114" t="str">
        <f t="shared" si="6"/>
        <v/>
      </c>
      <c r="K91" s="1055"/>
      <c r="L91" s="1055"/>
      <c r="M91" s="1115" t="str">
        <f t="shared" si="7"/>
        <v/>
      </c>
      <c r="N91" s="1055"/>
      <c r="O91" s="1055"/>
      <c r="P91" s="1115" t="str">
        <f t="shared" si="8"/>
        <v/>
      </c>
      <c r="Q91" s="1055"/>
      <c r="R91" s="1055"/>
      <c r="S91" s="1115" t="str">
        <f t="shared" si="9"/>
        <v/>
      </c>
      <c r="T91" s="1054"/>
      <c r="U91" s="1055"/>
      <c r="V91" s="1253" t="str">
        <f t="shared" si="10"/>
        <v/>
      </c>
      <c r="W91" s="1048"/>
      <c r="X91" s="1048"/>
      <c r="Y91" s="1048"/>
      <c r="Z91" s="1048"/>
      <c r="AA91" s="1048"/>
      <c r="AB91" s="1048"/>
      <c r="AC91" s="1048"/>
      <c r="AD91" s="1048"/>
      <c r="AE91" s="1048"/>
      <c r="AF91" s="1048"/>
      <c r="AG91" s="1048"/>
      <c r="AH91" s="1048"/>
      <c r="AI91" s="1048"/>
      <c r="AJ91" s="1048"/>
      <c r="AK91" s="1048"/>
      <c r="AL91" s="1048"/>
      <c r="AM91" s="1048"/>
      <c r="AN91" s="1048"/>
      <c r="AO91" s="1048"/>
      <c r="AP91" s="1048"/>
      <c r="AQ91" s="1048"/>
    </row>
    <row r="92" spans="2:43" x14ac:dyDescent="0.25">
      <c r="B92" s="1064"/>
      <c r="C92" s="1065"/>
      <c r="D92" s="1064"/>
      <c r="E92" s="1067"/>
      <c r="F92" s="1067"/>
      <c r="G92" s="1052"/>
      <c r="H92" s="1055"/>
      <c r="I92" s="1055"/>
      <c r="J92" s="1114" t="str">
        <f t="shared" si="6"/>
        <v/>
      </c>
      <c r="K92" s="1055"/>
      <c r="L92" s="1055"/>
      <c r="M92" s="1115" t="str">
        <f t="shared" si="7"/>
        <v/>
      </c>
      <c r="N92" s="1055"/>
      <c r="O92" s="1055"/>
      <c r="P92" s="1115" t="str">
        <f t="shared" si="8"/>
        <v/>
      </c>
      <c r="Q92" s="1055"/>
      <c r="R92" s="1055"/>
      <c r="S92" s="1115" t="str">
        <f t="shared" si="9"/>
        <v/>
      </c>
      <c r="T92" s="1054"/>
      <c r="U92" s="1055"/>
      <c r="V92" s="1253" t="str">
        <f t="shared" si="10"/>
        <v/>
      </c>
      <c r="W92" s="1048"/>
      <c r="X92" s="1048"/>
      <c r="Y92" s="1048"/>
      <c r="Z92" s="1048"/>
      <c r="AA92" s="1048"/>
      <c r="AB92" s="1048"/>
      <c r="AC92" s="1048"/>
      <c r="AD92" s="1048"/>
      <c r="AE92" s="1048"/>
      <c r="AF92" s="1048"/>
      <c r="AG92" s="1048"/>
      <c r="AH92" s="1048"/>
      <c r="AI92" s="1048"/>
      <c r="AJ92" s="1048"/>
      <c r="AK92" s="1048"/>
      <c r="AL92" s="1048"/>
      <c r="AM92" s="1048"/>
      <c r="AN92" s="1048"/>
      <c r="AO92" s="1048"/>
      <c r="AP92" s="1048"/>
      <c r="AQ92" s="1048"/>
    </row>
    <row r="93" spans="2:43" x14ac:dyDescent="0.25">
      <c r="B93" s="1064"/>
      <c r="C93" s="1065"/>
      <c r="D93" s="1064"/>
      <c r="E93" s="1067"/>
      <c r="F93" s="1067"/>
      <c r="G93" s="1052"/>
      <c r="H93" s="1055"/>
      <c r="I93" s="1055"/>
      <c r="J93" s="1114" t="str">
        <f t="shared" si="6"/>
        <v/>
      </c>
      <c r="K93" s="1055"/>
      <c r="L93" s="1055"/>
      <c r="M93" s="1115" t="str">
        <f t="shared" si="7"/>
        <v/>
      </c>
      <c r="N93" s="1055"/>
      <c r="O93" s="1055"/>
      <c r="P93" s="1115" t="str">
        <f t="shared" si="8"/>
        <v/>
      </c>
      <c r="Q93" s="1055"/>
      <c r="R93" s="1055"/>
      <c r="S93" s="1115" t="str">
        <f t="shared" si="9"/>
        <v/>
      </c>
      <c r="T93" s="1054"/>
      <c r="U93" s="1055"/>
      <c r="V93" s="1253" t="str">
        <f t="shared" si="10"/>
        <v/>
      </c>
      <c r="W93" s="1048"/>
      <c r="X93" s="1048"/>
      <c r="Y93" s="1048"/>
      <c r="Z93" s="1048"/>
      <c r="AA93" s="1048"/>
      <c r="AB93" s="1048"/>
      <c r="AC93" s="1048"/>
      <c r="AD93" s="1048"/>
      <c r="AE93" s="1048"/>
      <c r="AF93" s="1048"/>
      <c r="AG93" s="1048"/>
      <c r="AH93" s="1048"/>
      <c r="AI93" s="1048"/>
      <c r="AJ93" s="1048"/>
      <c r="AK93" s="1048"/>
      <c r="AL93" s="1048"/>
      <c r="AM93" s="1048"/>
      <c r="AN93" s="1048"/>
      <c r="AO93" s="1048"/>
      <c r="AP93" s="1048"/>
      <c r="AQ93" s="1048"/>
    </row>
    <row r="94" spans="2:43" x14ac:dyDescent="0.25">
      <c r="B94" s="1064"/>
      <c r="C94" s="1065"/>
      <c r="D94" s="1064"/>
      <c r="E94" s="1067"/>
      <c r="F94" s="1067"/>
      <c r="G94" s="1052"/>
      <c r="H94" s="1055"/>
      <c r="I94" s="1055"/>
      <c r="J94" s="1114" t="str">
        <f t="shared" si="6"/>
        <v/>
      </c>
      <c r="K94" s="1055"/>
      <c r="L94" s="1055"/>
      <c r="M94" s="1115" t="str">
        <f t="shared" si="7"/>
        <v/>
      </c>
      <c r="N94" s="1055"/>
      <c r="O94" s="1055"/>
      <c r="P94" s="1115" t="str">
        <f t="shared" si="8"/>
        <v/>
      </c>
      <c r="Q94" s="1055"/>
      <c r="R94" s="1055"/>
      <c r="S94" s="1115" t="str">
        <f t="shared" si="9"/>
        <v/>
      </c>
      <c r="T94" s="1054"/>
      <c r="U94" s="1055"/>
      <c r="V94" s="1253" t="str">
        <f t="shared" si="10"/>
        <v/>
      </c>
      <c r="W94" s="1048"/>
      <c r="X94" s="1048"/>
      <c r="Y94" s="1048"/>
      <c r="Z94" s="1048"/>
      <c r="AA94" s="1048"/>
      <c r="AB94" s="1048"/>
      <c r="AC94" s="1048"/>
      <c r="AD94" s="1048"/>
      <c r="AE94" s="1048"/>
      <c r="AF94" s="1048"/>
      <c r="AG94" s="1048"/>
      <c r="AH94" s="1048"/>
      <c r="AI94" s="1048"/>
      <c r="AJ94" s="1048"/>
      <c r="AK94" s="1048"/>
      <c r="AL94" s="1048"/>
      <c r="AM94" s="1048"/>
      <c r="AN94" s="1048"/>
      <c r="AO94" s="1048"/>
      <c r="AP94" s="1048"/>
      <c r="AQ94" s="1048"/>
    </row>
    <row r="95" spans="2:43" x14ac:dyDescent="0.25">
      <c r="B95" s="1064"/>
      <c r="C95" s="1065"/>
      <c r="D95" s="1064"/>
      <c r="E95" s="1067"/>
      <c r="F95" s="1067"/>
      <c r="G95" s="1052"/>
      <c r="H95" s="1055"/>
      <c r="I95" s="1055"/>
      <c r="J95" s="1114" t="str">
        <f t="shared" si="6"/>
        <v/>
      </c>
      <c r="K95" s="1055"/>
      <c r="L95" s="1055"/>
      <c r="M95" s="1115" t="str">
        <f t="shared" si="7"/>
        <v/>
      </c>
      <c r="N95" s="1055"/>
      <c r="O95" s="1055"/>
      <c r="P95" s="1115" t="str">
        <f t="shared" si="8"/>
        <v/>
      </c>
      <c r="Q95" s="1055"/>
      <c r="R95" s="1055"/>
      <c r="S95" s="1115" t="str">
        <f t="shared" si="9"/>
        <v/>
      </c>
      <c r="T95" s="1054"/>
      <c r="U95" s="1055"/>
      <c r="V95" s="1253" t="str">
        <f t="shared" si="10"/>
        <v/>
      </c>
      <c r="W95" s="1048"/>
      <c r="X95" s="1048"/>
      <c r="Y95" s="1048"/>
      <c r="Z95" s="1048"/>
      <c r="AA95" s="1048"/>
      <c r="AB95" s="1048"/>
      <c r="AC95" s="1048"/>
      <c r="AD95" s="1048"/>
      <c r="AE95" s="1048"/>
      <c r="AF95" s="1048"/>
      <c r="AG95" s="1048"/>
      <c r="AH95" s="1048"/>
      <c r="AI95" s="1048"/>
      <c r="AJ95" s="1048"/>
      <c r="AK95" s="1048"/>
      <c r="AL95" s="1048"/>
      <c r="AM95" s="1048"/>
      <c r="AN95" s="1048"/>
      <c r="AO95" s="1048"/>
      <c r="AP95" s="1048"/>
      <c r="AQ95" s="1048"/>
    </row>
    <row r="96" spans="2:43" x14ac:dyDescent="0.25">
      <c r="B96" s="1064"/>
      <c r="C96" s="1065"/>
      <c r="D96" s="1064"/>
      <c r="E96" s="1067"/>
      <c r="F96" s="1067"/>
      <c r="G96" s="1052"/>
      <c r="H96" s="1055"/>
      <c r="I96" s="1055"/>
      <c r="J96" s="1114" t="str">
        <f t="shared" si="6"/>
        <v/>
      </c>
      <c r="K96" s="1055"/>
      <c r="L96" s="1055"/>
      <c r="M96" s="1115" t="str">
        <f t="shared" si="7"/>
        <v/>
      </c>
      <c r="N96" s="1055"/>
      <c r="O96" s="1055"/>
      <c r="P96" s="1115" t="str">
        <f t="shared" si="8"/>
        <v/>
      </c>
      <c r="Q96" s="1055"/>
      <c r="R96" s="1055"/>
      <c r="S96" s="1115" t="str">
        <f t="shared" si="9"/>
        <v/>
      </c>
      <c r="T96" s="1054"/>
      <c r="U96" s="1055"/>
      <c r="V96" s="1253" t="str">
        <f t="shared" si="10"/>
        <v/>
      </c>
      <c r="W96" s="1048"/>
      <c r="X96" s="1048"/>
      <c r="Y96" s="1048"/>
      <c r="Z96" s="1048"/>
      <c r="AA96" s="1048"/>
      <c r="AB96" s="1048"/>
      <c r="AC96" s="1048"/>
      <c r="AD96" s="1048"/>
      <c r="AE96" s="1048"/>
      <c r="AF96" s="1048"/>
      <c r="AG96" s="1048"/>
      <c r="AH96" s="1048"/>
      <c r="AI96" s="1048"/>
      <c r="AJ96" s="1048"/>
      <c r="AK96" s="1048"/>
      <c r="AL96" s="1048"/>
      <c r="AM96" s="1048"/>
      <c r="AN96" s="1048"/>
      <c r="AO96" s="1048"/>
      <c r="AP96" s="1048"/>
      <c r="AQ96" s="1048"/>
    </row>
    <row r="97" spans="2:43" x14ac:dyDescent="0.25">
      <c r="B97" s="1064"/>
      <c r="C97" s="1065"/>
      <c r="D97" s="1064"/>
      <c r="E97" s="1067"/>
      <c r="F97" s="1067"/>
      <c r="G97" s="1052"/>
      <c r="H97" s="1055"/>
      <c r="I97" s="1055"/>
      <c r="J97" s="1114" t="str">
        <f t="shared" si="6"/>
        <v/>
      </c>
      <c r="K97" s="1055"/>
      <c r="L97" s="1055"/>
      <c r="M97" s="1115" t="str">
        <f t="shared" si="7"/>
        <v/>
      </c>
      <c r="N97" s="1055"/>
      <c r="O97" s="1055"/>
      <c r="P97" s="1115" t="str">
        <f t="shared" si="8"/>
        <v/>
      </c>
      <c r="Q97" s="1055"/>
      <c r="R97" s="1055"/>
      <c r="S97" s="1115" t="str">
        <f t="shared" si="9"/>
        <v/>
      </c>
      <c r="T97" s="1054"/>
      <c r="U97" s="1055"/>
      <c r="V97" s="1253" t="str">
        <f t="shared" si="10"/>
        <v/>
      </c>
      <c r="W97" s="1048"/>
      <c r="X97" s="1048"/>
      <c r="Y97" s="1048"/>
      <c r="Z97" s="1048"/>
      <c r="AA97" s="1048"/>
      <c r="AB97" s="1048"/>
      <c r="AC97" s="1048"/>
      <c r="AD97" s="1048"/>
      <c r="AE97" s="1048"/>
      <c r="AF97" s="1048"/>
      <c r="AG97" s="1048"/>
      <c r="AH97" s="1048"/>
      <c r="AI97" s="1048"/>
      <c r="AJ97" s="1048"/>
      <c r="AK97" s="1048"/>
      <c r="AL97" s="1048"/>
      <c r="AM97" s="1048"/>
      <c r="AN97" s="1048"/>
      <c r="AO97" s="1048"/>
      <c r="AP97" s="1048"/>
      <c r="AQ97" s="1048"/>
    </row>
    <row r="98" spans="2:43" x14ac:dyDescent="0.25">
      <c r="B98" s="1064"/>
      <c r="C98" s="1065"/>
      <c r="D98" s="1064"/>
      <c r="E98" s="1067"/>
      <c r="F98" s="1067"/>
      <c r="G98" s="1052"/>
      <c r="H98" s="1055"/>
      <c r="I98" s="1055"/>
      <c r="J98" s="1114" t="str">
        <f t="shared" si="6"/>
        <v/>
      </c>
      <c r="K98" s="1055"/>
      <c r="L98" s="1055"/>
      <c r="M98" s="1115" t="str">
        <f t="shared" si="7"/>
        <v/>
      </c>
      <c r="N98" s="1055"/>
      <c r="O98" s="1055"/>
      <c r="P98" s="1115" t="str">
        <f t="shared" si="8"/>
        <v/>
      </c>
      <c r="Q98" s="1055"/>
      <c r="R98" s="1055"/>
      <c r="S98" s="1115" t="str">
        <f t="shared" si="9"/>
        <v/>
      </c>
      <c r="T98" s="1054"/>
      <c r="U98" s="1055"/>
      <c r="V98" s="1253" t="str">
        <f t="shared" si="10"/>
        <v/>
      </c>
      <c r="W98" s="1048"/>
      <c r="X98" s="1048"/>
      <c r="Y98" s="1048"/>
      <c r="Z98" s="1048"/>
      <c r="AA98" s="1048"/>
      <c r="AB98" s="1048"/>
      <c r="AC98" s="1048"/>
      <c r="AD98" s="1048"/>
      <c r="AE98" s="1048"/>
      <c r="AF98" s="1048"/>
      <c r="AG98" s="1048"/>
      <c r="AH98" s="1048"/>
      <c r="AI98" s="1048"/>
      <c r="AJ98" s="1048"/>
      <c r="AK98" s="1048"/>
      <c r="AL98" s="1048"/>
      <c r="AM98" s="1048"/>
      <c r="AN98" s="1048"/>
      <c r="AO98" s="1048"/>
      <c r="AP98" s="1048"/>
      <c r="AQ98" s="1048"/>
    </row>
    <row r="99" spans="2:43" x14ac:dyDescent="0.25">
      <c r="B99" s="1064"/>
      <c r="C99" s="1065"/>
      <c r="D99" s="1064"/>
      <c r="E99" s="1067"/>
      <c r="F99" s="1067"/>
      <c r="G99" s="1052"/>
      <c r="H99" s="1055"/>
      <c r="I99" s="1055"/>
      <c r="J99" s="1114" t="str">
        <f t="shared" si="6"/>
        <v/>
      </c>
      <c r="K99" s="1055"/>
      <c r="L99" s="1055"/>
      <c r="M99" s="1115" t="str">
        <f t="shared" si="7"/>
        <v/>
      </c>
      <c r="N99" s="1055"/>
      <c r="O99" s="1055"/>
      <c r="P99" s="1115" t="str">
        <f t="shared" si="8"/>
        <v/>
      </c>
      <c r="Q99" s="1055"/>
      <c r="R99" s="1055"/>
      <c r="S99" s="1115" t="str">
        <f t="shared" si="9"/>
        <v/>
      </c>
      <c r="T99" s="1054"/>
      <c r="U99" s="1055"/>
      <c r="V99" s="1253" t="str">
        <f t="shared" si="10"/>
        <v/>
      </c>
      <c r="W99" s="1048"/>
      <c r="X99" s="1048"/>
      <c r="Y99" s="1048"/>
      <c r="Z99" s="1048"/>
      <c r="AA99" s="1048"/>
      <c r="AB99" s="1048"/>
      <c r="AC99" s="1048"/>
      <c r="AD99" s="1048"/>
      <c r="AE99" s="1048"/>
      <c r="AF99" s="1048"/>
      <c r="AG99" s="1048"/>
      <c r="AH99" s="1048"/>
      <c r="AI99" s="1048"/>
      <c r="AJ99" s="1048"/>
      <c r="AK99" s="1048"/>
      <c r="AL99" s="1048"/>
      <c r="AM99" s="1048"/>
      <c r="AN99" s="1048"/>
      <c r="AO99" s="1048"/>
      <c r="AP99" s="1048"/>
      <c r="AQ99" s="1048"/>
    </row>
    <row r="100" spans="2:43" x14ac:dyDescent="0.25">
      <c r="B100" s="1064"/>
      <c r="C100" s="1065"/>
      <c r="D100" s="1064"/>
      <c r="E100" s="1067"/>
      <c r="F100" s="1067"/>
      <c r="G100" s="1052"/>
      <c r="H100" s="1055"/>
      <c r="I100" s="1055"/>
      <c r="J100" s="1114" t="str">
        <f t="shared" si="6"/>
        <v/>
      </c>
      <c r="K100" s="1055"/>
      <c r="L100" s="1055"/>
      <c r="M100" s="1115" t="str">
        <f t="shared" si="7"/>
        <v/>
      </c>
      <c r="N100" s="1055"/>
      <c r="O100" s="1055"/>
      <c r="P100" s="1115" t="str">
        <f t="shared" si="8"/>
        <v/>
      </c>
      <c r="Q100" s="1055"/>
      <c r="R100" s="1055"/>
      <c r="S100" s="1115" t="str">
        <f t="shared" si="9"/>
        <v/>
      </c>
      <c r="T100" s="1054"/>
      <c r="U100" s="1055"/>
      <c r="V100" s="1253" t="str">
        <f t="shared" si="10"/>
        <v/>
      </c>
      <c r="W100" s="1048"/>
      <c r="X100" s="1048"/>
      <c r="Y100" s="1048"/>
      <c r="Z100" s="1048"/>
      <c r="AA100" s="1048"/>
      <c r="AB100" s="1048"/>
      <c r="AC100" s="1048"/>
      <c r="AD100" s="1048"/>
      <c r="AE100" s="1048"/>
      <c r="AF100" s="1048"/>
      <c r="AG100" s="1048"/>
      <c r="AH100" s="1048"/>
      <c r="AI100" s="1048"/>
      <c r="AJ100" s="1048"/>
      <c r="AK100" s="1048"/>
      <c r="AL100" s="1048"/>
      <c r="AM100" s="1048"/>
      <c r="AN100" s="1048"/>
      <c r="AO100" s="1048"/>
      <c r="AP100" s="1048"/>
      <c r="AQ100" s="1048"/>
    </row>
    <row r="101" spans="2:43" x14ac:dyDescent="0.25">
      <c r="B101" s="1064"/>
      <c r="C101" s="1065"/>
      <c r="D101" s="1064"/>
      <c r="E101" s="1067"/>
      <c r="F101" s="1067"/>
      <c r="G101" s="1052"/>
      <c r="H101" s="1055"/>
      <c r="I101" s="1055"/>
      <c r="J101" s="1114" t="str">
        <f t="shared" si="6"/>
        <v/>
      </c>
      <c r="K101" s="1055"/>
      <c r="L101" s="1055"/>
      <c r="M101" s="1115" t="str">
        <f t="shared" si="7"/>
        <v/>
      </c>
      <c r="N101" s="1055"/>
      <c r="O101" s="1055"/>
      <c r="P101" s="1115" t="str">
        <f t="shared" si="8"/>
        <v/>
      </c>
      <c r="Q101" s="1055"/>
      <c r="R101" s="1055"/>
      <c r="S101" s="1115" t="str">
        <f t="shared" si="9"/>
        <v/>
      </c>
      <c r="T101" s="1054"/>
      <c r="U101" s="1055"/>
      <c r="V101" s="1253" t="str">
        <f t="shared" si="10"/>
        <v/>
      </c>
      <c r="W101" s="1048"/>
      <c r="X101" s="1048"/>
      <c r="Y101" s="1048"/>
      <c r="Z101" s="1048"/>
      <c r="AA101" s="1048"/>
      <c r="AB101" s="1048"/>
      <c r="AC101" s="1048"/>
      <c r="AD101" s="1048"/>
      <c r="AE101" s="1048"/>
      <c r="AF101" s="1048"/>
      <c r="AG101" s="1048"/>
      <c r="AH101" s="1048"/>
      <c r="AI101" s="1048"/>
      <c r="AJ101" s="1048"/>
      <c r="AK101" s="1048"/>
      <c r="AL101" s="1048"/>
      <c r="AM101" s="1048"/>
      <c r="AN101" s="1048"/>
      <c r="AO101" s="1048"/>
      <c r="AP101" s="1048"/>
      <c r="AQ101" s="1048"/>
    </row>
    <row r="102" spans="2:43" x14ac:dyDescent="0.25">
      <c r="B102" s="1064"/>
      <c r="C102" s="1065"/>
      <c r="D102" s="1064"/>
      <c r="E102" s="1067"/>
      <c r="F102" s="1067"/>
      <c r="G102" s="1052"/>
      <c r="H102" s="1055"/>
      <c r="I102" s="1055"/>
      <c r="J102" s="1114" t="str">
        <f t="shared" si="6"/>
        <v/>
      </c>
      <c r="K102" s="1055"/>
      <c r="L102" s="1055"/>
      <c r="M102" s="1115" t="str">
        <f t="shared" si="7"/>
        <v/>
      </c>
      <c r="N102" s="1055"/>
      <c r="O102" s="1055"/>
      <c r="P102" s="1115" t="str">
        <f t="shared" si="8"/>
        <v/>
      </c>
      <c r="Q102" s="1055"/>
      <c r="R102" s="1055"/>
      <c r="S102" s="1115" t="str">
        <f t="shared" si="9"/>
        <v/>
      </c>
      <c r="T102" s="1054"/>
      <c r="U102" s="1055"/>
      <c r="V102" s="1253" t="str">
        <f t="shared" si="10"/>
        <v/>
      </c>
      <c r="W102" s="1048"/>
      <c r="X102" s="1048"/>
      <c r="Y102" s="1048"/>
      <c r="Z102" s="1048"/>
      <c r="AA102" s="1048"/>
      <c r="AB102" s="1048"/>
      <c r="AC102" s="1048"/>
      <c r="AD102" s="1048"/>
      <c r="AE102" s="1048"/>
      <c r="AF102" s="1048"/>
      <c r="AG102" s="1048"/>
      <c r="AH102" s="1048"/>
      <c r="AI102" s="1048"/>
      <c r="AJ102" s="1048"/>
      <c r="AK102" s="1048"/>
      <c r="AL102" s="1048"/>
      <c r="AM102" s="1048"/>
      <c r="AN102" s="1048"/>
      <c r="AO102" s="1048"/>
      <c r="AP102" s="1048"/>
      <c r="AQ102" s="1048"/>
    </row>
    <row r="103" spans="2:43" x14ac:dyDescent="0.25">
      <c r="B103" s="1064"/>
      <c r="C103" s="1065"/>
      <c r="D103" s="1064"/>
      <c r="E103" s="1067"/>
      <c r="F103" s="1067"/>
      <c r="G103" s="1052"/>
      <c r="H103" s="1055"/>
      <c r="I103" s="1055"/>
      <c r="J103" s="1114" t="str">
        <f t="shared" si="6"/>
        <v/>
      </c>
      <c r="K103" s="1055"/>
      <c r="L103" s="1055"/>
      <c r="M103" s="1115" t="str">
        <f t="shared" si="7"/>
        <v/>
      </c>
      <c r="N103" s="1055"/>
      <c r="O103" s="1055"/>
      <c r="P103" s="1115" t="str">
        <f t="shared" si="8"/>
        <v/>
      </c>
      <c r="Q103" s="1055"/>
      <c r="R103" s="1055"/>
      <c r="S103" s="1115" t="str">
        <f t="shared" si="9"/>
        <v/>
      </c>
      <c r="T103" s="1054"/>
      <c r="U103" s="1055"/>
      <c r="V103" s="1253" t="str">
        <f t="shared" si="10"/>
        <v/>
      </c>
      <c r="W103" s="1048"/>
      <c r="X103" s="1048"/>
      <c r="Y103" s="1048"/>
      <c r="Z103" s="1048"/>
      <c r="AA103" s="1048"/>
      <c r="AB103" s="1048"/>
      <c r="AC103" s="1048"/>
      <c r="AD103" s="1048"/>
      <c r="AE103" s="1048"/>
      <c r="AF103" s="1048"/>
      <c r="AG103" s="1048"/>
      <c r="AH103" s="1048"/>
      <c r="AI103" s="1048"/>
      <c r="AJ103" s="1048"/>
      <c r="AK103" s="1048"/>
      <c r="AL103" s="1048"/>
      <c r="AM103" s="1048"/>
      <c r="AN103" s="1048"/>
      <c r="AO103" s="1048"/>
      <c r="AP103" s="1048"/>
      <c r="AQ103" s="1048"/>
    </row>
    <row r="104" spans="2:43" x14ac:dyDescent="0.25">
      <c r="B104" s="1064"/>
      <c r="C104" s="1065"/>
      <c r="D104" s="1064"/>
      <c r="E104" s="1067"/>
      <c r="F104" s="1067"/>
      <c r="G104" s="1052"/>
      <c r="H104" s="1055"/>
      <c r="I104" s="1055"/>
      <c r="J104" s="1114" t="str">
        <f t="shared" si="6"/>
        <v/>
      </c>
      <c r="K104" s="1055"/>
      <c r="L104" s="1055"/>
      <c r="M104" s="1115" t="str">
        <f t="shared" si="7"/>
        <v/>
      </c>
      <c r="N104" s="1055"/>
      <c r="O104" s="1055"/>
      <c r="P104" s="1115" t="str">
        <f t="shared" si="8"/>
        <v/>
      </c>
      <c r="Q104" s="1055"/>
      <c r="R104" s="1055"/>
      <c r="S104" s="1115" t="str">
        <f t="shared" si="9"/>
        <v/>
      </c>
      <c r="T104" s="1054"/>
      <c r="U104" s="1055"/>
      <c r="V104" s="1253" t="str">
        <f t="shared" si="10"/>
        <v/>
      </c>
      <c r="W104" s="1048"/>
      <c r="X104" s="1048"/>
      <c r="Y104" s="1048"/>
      <c r="Z104" s="1048"/>
      <c r="AA104" s="1048"/>
      <c r="AB104" s="1048"/>
      <c r="AC104" s="1048"/>
      <c r="AD104" s="1048"/>
      <c r="AE104" s="1048"/>
      <c r="AF104" s="1048"/>
      <c r="AG104" s="1048"/>
      <c r="AH104" s="1048"/>
      <c r="AI104" s="1048"/>
      <c r="AJ104" s="1048"/>
      <c r="AK104" s="1048"/>
      <c r="AL104" s="1048"/>
      <c r="AM104" s="1048"/>
      <c r="AN104" s="1048"/>
      <c r="AO104" s="1048"/>
      <c r="AP104" s="1048"/>
      <c r="AQ104" s="1048"/>
    </row>
    <row r="105" spans="2:43" x14ac:dyDescent="0.25">
      <c r="B105" s="1064"/>
      <c r="C105" s="1065"/>
      <c r="D105" s="1064"/>
      <c r="E105" s="1067"/>
      <c r="F105" s="1067"/>
      <c r="G105" s="1052"/>
      <c r="H105" s="1055"/>
      <c r="I105" s="1055"/>
      <c r="J105" s="1114" t="str">
        <f t="shared" si="6"/>
        <v/>
      </c>
      <c r="K105" s="1055"/>
      <c r="L105" s="1055"/>
      <c r="M105" s="1115" t="str">
        <f t="shared" si="7"/>
        <v/>
      </c>
      <c r="N105" s="1055"/>
      <c r="O105" s="1055"/>
      <c r="P105" s="1115" t="str">
        <f t="shared" si="8"/>
        <v/>
      </c>
      <c r="Q105" s="1055"/>
      <c r="R105" s="1055"/>
      <c r="S105" s="1115" t="str">
        <f t="shared" si="9"/>
        <v/>
      </c>
      <c r="T105" s="1054"/>
      <c r="U105" s="1055"/>
      <c r="V105" s="1253" t="str">
        <f t="shared" si="10"/>
        <v/>
      </c>
      <c r="W105" s="1048"/>
      <c r="X105" s="1048"/>
      <c r="Y105" s="1048"/>
      <c r="Z105" s="1048"/>
      <c r="AA105" s="1048"/>
      <c r="AB105" s="1048"/>
      <c r="AC105" s="1048"/>
      <c r="AD105" s="1048"/>
      <c r="AE105" s="1048"/>
      <c r="AF105" s="1048"/>
      <c r="AG105" s="1048"/>
      <c r="AH105" s="1048"/>
      <c r="AI105" s="1048"/>
      <c r="AJ105" s="1048"/>
      <c r="AK105" s="1048"/>
      <c r="AL105" s="1048"/>
      <c r="AM105" s="1048"/>
      <c r="AN105" s="1048"/>
      <c r="AO105" s="1048"/>
      <c r="AP105" s="1048"/>
      <c r="AQ105" s="1048"/>
    </row>
    <row r="106" spans="2:43" x14ac:dyDescent="0.25">
      <c r="B106" s="1064"/>
      <c r="C106" s="1065"/>
      <c r="D106" s="1064"/>
      <c r="E106" s="1067"/>
      <c r="F106" s="1067"/>
      <c r="G106" s="1052"/>
      <c r="H106" s="1055"/>
      <c r="I106" s="1055"/>
      <c r="J106" s="1114" t="str">
        <f t="shared" si="6"/>
        <v/>
      </c>
      <c r="K106" s="1055"/>
      <c r="L106" s="1055"/>
      <c r="M106" s="1115" t="str">
        <f t="shared" si="7"/>
        <v/>
      </c>
      <c r="N106" s="1055"/>
      <c r="O106" s="1055"/>
      <c r="P106" s="1115" t="str">
        <f t="shared" si="8"/>
        <v/>
      </c>
      <c r="Q106" s="1055"/>
      <c r="R106" s="1055"/>
      <c r="S106" s="1115" t="str">
        <f t="shared" si="9"/>
        <v/>
      </c>
      <c r="T106" s="1054"/>
      <c r="U106" s="1055"/>
      <c r="V106" s="1253" t="str">
        <f t="shared" si="10"/>
        <v/>
      </c>
      <c r="W106" s="1048"/>
      <c r="X106" s="1048"/>
      <c r="Y106" s="1048"/>
      <c r="Z106" s="1048"/>
      <c r="AA106" s="1048"/>
      <c r="AB106" s="1048"/>
      <c r="AC106" s="1048"/>
      <c r="AD106" s="1048"/>
      <c r="AE106" s="1048"/>
      <c r="AF106" s="1048"/>
      <c r="AG106" s="1048"/>
      <c r="AH106" s="1048"/>
      <c r="AI106" s="1048"/>
      <c r="AJ106" s="1048"/>
      <c r="AK106" s="1048"/>
      <c r="AL106" s="1048"/>
      <c r="AM106" s="1048"/>
      <c r="AN106" s="1048"/>
      <c r="AO106" s="1048"/>
      <c r="AP106" s="1048"/>
      <c r="AQ106" s="1048"/>
    </row>
    <row r="107" spans="2:43" x14ac:dyDescent="0.25">
      <c r="B107" s="1064"/>
      <c r="C107" s="1065"/>
      <c r="D107" s="1064"/>
      <c r="E107" s="1067"/>
      <c r="F107" s="1067"/>
      <c r="G107" s="1052"/>
      <c r="H107" s="1055"/>
      <c r="I107" s="1055"/>
      <c r="J107" s="1114" t="str">
        <f t="shared" si="6"/>
        <v/>
      </c>
      <c r="K107" s="1055"/>
      <c r="L107" s="1055"/>
      <c r="M107" s="1115" t="str">
        <f t="shared" si="7"/>
        <v/>
      </c>
      <c r="N107" s="1055"/>
      <c r="O107" s="1055"/>
      <c r="P107" s="1115" t="str">
        <f t="shared" si="8"/>
        <v/>
      </c>
      <c r="Q107" s="1055"/>
      <c r="R107" s="1055"/>
      <c r="S107" s="1115" t="str">
        <f t="shared" si="9"/>
        <v/>
      </c>
      <c r="T107" s="1054"/>
      <c r="U107" s="1055"/>
      <c r="V107" s="1253" t="str">
        <f t="shared" si="10"/>
        <v/>
      </c>
      <c r="W107" s="1048"/>
      <c r="X107" s="1048"/>
      <c r="Y107" s="1048"/>
      <c r="Z107" s="1048"/>
      <c r="AA107" s="1048"/>
      <c r="AB107" s="1048"/>
      <c r="AC107" s="1048"/>
      <c r="AD107" s="1048"/>
      <c r="AE107" s="1048"/>
      <c r="AF107" s="1048"/>
      <c r="AG107" s="1048"/>
      <c r="AH107" s="1048"/>
      <c r="AI107" s="1048"/>
      <c r="AJ107" s="1048"/>
      <c r="AK107" s="1048"/>
      <c r="AL107" s="1048"/>
      <c r="AM107" s="1048"/>
      <c r="AN107" s="1048"/>
      <c r="AO107" s="1048"/>
      <c r="AP107" s="1048"/>
      <c r="AQ107" s="1048"/>
    </row>
    <row r="108" spans="2:43" x14ac:dyDescent="0.25">
      <c r="B108" s="1064"/>
      <c r="C108" s="1065"/>
      <c r="D108" s="1064"/>
      <c r="E108" s="1067"/>
      <c r="F108" s="1067"/>
      <c r="G108" s="1052"/>
      <c r="H108" s="1055"/>
      <c r="I108" s="1055"/>
      <c r="J108" s="1114" t="str">
        <f t="shared" si="6"/>
        <v/>
      </c>
      <c r="K108" s="1055"/>
      <c r="L108" s="1055"/>
      <c r="M108" s="1115" t="str">
        <f t="shared" si="7"/>
        <v/>
      </c>
      <c r="N108" s="1055"/>
      <c r="O108" s="1055"/>
      <c r="P108" s="1115" t="str">
        <f t="shared" si="8"/>
        <v/>
      </c>
      <c r="Q108" s="1055"/>
      <c r="R108" s="1055"/>
      <c r="S108" s="1115" t="str">
        <f t="shared" si="9"/>
        <v/>
      </c>
      <c r="T108" s="1054"/>
      <c r="U108" s="1055"/>
      <c r="V108" s="1253" t="str">
        <f t="shared" si="10"/>
        <v/>
      </c>
      <c r="W108" s="1048"/>
      <c r="X108" s="1048"/>
      <c r="Y108" s="1048"/>
      <c r="Z108" s="1048"/>
      <c r="AA108" s="1048"/>
      <c r="AB108" s="1048"/>
      <c r="AC108" s="1048"/>
      <c r="AD108" s="1048"/>
      <c r="AE108" s="1048"/>
      <c r="AF108" s="1048"/>
      <c r="AG108" s="1048"/>
      <c r="AH108" s="1048"/>
      <c r="AI108" s="1048"/>
      <c r="AJ108" s="1048"/>
      <c r="AK108" s="1048"/>
      <c r="AL108" s="1048"/>
      <c r="AM108" s="1048"/>
      <c r="AN108" s="1048"/>
      <c r="AO108" s="1048"/>
      <c r="AP108" s="1048"/>
      <c r="AQ108" s="1048"/>
    </row>
    <row r="109" spans="2:43" x14ac:dyDescent="0.25">
      <c r="B109" s="1064"/>
      <c r="C109" s="1065"/>
      <c r="D109" s="1064"/>
      <c r="E109" s="1067"/>
      <c r="F109" s="1067"/>
      <c r="G109" s="1052"/>
      <c r="H109" s="1055"/>
      <c r="I109" s="1055"/>
      <c r="J109" s="1114" t="str">
        <f t="shared" si="6"/>
        <v/>
      </c>
      <c r="K109" s="1055"/>
      <c r="L109" s="1055"/>
      <c r="M109" s="1115" t="str">
        <f t="shared" si="7"/>
        <v/>
      </c>
      <c r="N109" s="1055"/>
      <c r="O109" s="1055"/>
      <c r="P109" s="1115" t="str">
        <f t="shared" si="8"/>
        <v/>
      </c>
      <c r="Q109" s="1055"/>
      <c r="R109" s="1055"/>
      <c r="S109" s="1115" t="str">
        <f t="shared" si="9"/>
        <v/>
      </c>
      <c r="T109" s="1054"/>
      <c r="U109" s="1055"/>
      <c r="V109" s="1253" t="str">
        <f t="shared" si="10"/>
        <v/>
      </c>
      <c r="W109" s="1048"/>
      <c r="X109" s="1048"/>
      <c r="Y109" s="1048"/>
      <c r="Z109" s="1048"/>
      <c r="AA109" s="1048"/>
      <c r="AB109" s="1048"/>
      <c r="AC109" s="1048"/>
      <c r="AD109" s="1048"/>
      <c r="AE109" s="1048"/>
      <c r="AF109" s="1048"/>
      <c r="AG109" s="1048"/>
      <c r="AH109" s="1048"/>
      <c r="AI109" s="1048"/>
      <c r="AJ109" s="1048"/>
      <c r="AK109" s="1048"/>
      <c r="AL109" s="1048"/>
      <c r="AM109" s="1048"/>
      <c r="AN109" s="1048"/>
      <c r="AO109" s="1048"/>
      <c r="AP109" s="1048"/>
      <c r="AQ109" s="1048"/>
    </row>
    <row r="110" spans="2:43" x14ac:dyDescent="0.25">
      <c r="B110" s="1064"/>
      <c r="C110" s="1065"/>
      <c r="D110" s="1064"/>
      <c r="E110" s="1067"/>
      <c r="F110" s="1067"/>
      <c r="G110" s="1052"/>
      <c r="H110" s="1055"/>
      <c r="I110" s="1055"/>
      <c r="J110" s="1114" t="str">
        <f t="shared" si="6"/>
        <v/>
      </c>
      <c r="K110" s="1055"/>
      <c r="L110" s="1055"/>
      <c r="M110" s="1115" t="str">
        <f t="shared" si="7"/>
        <v/>
      </c>
      <c r="N110" s="1055"/>
      <c r="O110" s="1055"/>
      <c r="P110" s="1115" t="str">
        <f t="shared" si="8"/>
        <v/>
      </c>
      <c r="Q110" s="1055"/>
      <c r="R110" s="1055"/>
      <c r="S110" s="1115" t="str">
        <f t="shared" si="9"/>
        <v/>
      </c>
      <c r="T110" s="1054"/>
      <c r="U110" s="1055"/>
      <c r="V110" s="1253" t="str">
        <f t="shared" si="10"/>
        <v/>
      </c>
      <c r="W110" s="1048"/>
      <c r="X110" s="1048"/>
      <c r="Y110" s="1048"/>
      <c r="Z110" s="1048"/>
      <c r="AA110" s="1048"/>
      <c r="AB110" s="1048"/>
      <c r="AC110" s="1048"/>
      <c r="AD110" s="1048"/>
      <c r="AE110" s="1048"/>
      <c r="AF110" s="1048"/>
      <c r="AG110" s="1048"/>
      <c r="AH110" s="1048"/>
      <c r="AI110" s="1048"/>
      <c r="AJ110" s="1048"/>
      <c r="AK110" s="1048"/>
      <c r="AL110" s="1048"/>
      <c r="AM110" s="1048"/>
      <c r="AN110" s="1048"/>
      <c r="AO110" s="1048"/>
      <c r="AP110" s="1048"/>
      <c r="AQ110" s="1048"/>
    </row>
    <row r="111" spans="2:43" x14ac:dyDescent="0.25">
      <c r="B111" s="1064"/>
      <c r="C111" s="1065"/>
      <c r="D111" s="1064"/>
      <c r="E111" s="1067"/>
      <c r="F111" s="1067"/>
      <c r="G111" s="1052"/>
      <c r="H111" s="1055"/>
      <c r="I111" s="1055"/>
      <c r="J111" s="1114" t="str">
        <f t="shared" si="6"/>
        <v/>
      </c>
      <c r="K111" s="1055"/>
      <c r="L111" s="1055"/>
      <c r="M111" s="1115" t="str">
        <f t="shared" si="7"/>
        <v/>
      </c>
      <c r="N111" s="1055"/>
      <c r="O111" s="1055"/>
      <c r="P111" s="1115" t="str">
        <f t="shared" si="8"/>
        <v/>
      </c>
      <c r="Q111" s="1055"/>
      <c r="R111" s="1055"/>
      <c r="S111" s="1115" t="str">
        <f t="shared" si="9"/>
        <v/>
      </c>
      <c r="T111" s="1054"/>
      <c r="U111" s="1055"/>
      <c r="V111" s="1253" t="str">
        <f t="shared" si="10"/>
        <v/>
      </c>
      <c r="W111" s="1048"/>
      <c r="X111" s="1048"/>
      <c r="Y111" s="1048"/>
      <c r="Z111" s="1048"/>
      <c r="AA111" s="1048"/>
      <c r="AB111" s="1048"/>
      <c r="AC111" s="1048"/>
      <c r="AD111" s="1048"/>
      <c r="AE111" s="1048"/>
      <c r="AF111" s="1048"/>
      <c r="AG111" s="1048"/>
      <c r="AH111" s="1048"/>
      <c r="AI111" s="1048"/>
      <c r="AJ111" s="1048"/>
      <c r="AK111" s="1048"/>
      <c r="AL111" s="1048"/>
      <c r="AM111" s="1048"/>
      <c r="AN111" s="1048"/>
      <c r="AO111" s="1048"/>
      <c r="AP111" s="1048"/>
      <c r="AQ111" s="1048"/>
    </row>
    <row r="112" spans="2:43" x14ac:dyDescent="0.25">
      <c r="B112" s="1064"/>
      <c r="C112" s="1065"/>
      <c r="D112" s="1064"/>
      <c r="E112" s="1067"/>
      <c r="F112" s="1067"/>
      <c r="G112" s="1052"/>
      <c r="H112" s="1055"/>
      <c r="I112" s="1055"/>
      <c r="J112" s="1114" t="str">
        <f t="shared" si="6"/>
        <v/>
      </c>
      <c r="K112" s="1055"/>
      <c r="L112" s="1055"/>
      <c r="M112" s="1115" t="str">
        <f t="shared" si="7"/>
        <v/>
      </c>
      <c r="N112" s="1055"/>
      <c r="O112" s="1055"/>
      <c r="P112" s="1115" t="str">
        <f t="shared" si="8"/>
        <v/>
      </c>
      <c r="Q112" s="1055"/>
      <c r="R112" s="1055"/>
      <c r="S112" s="1115" t="str">
        <f t="shared" si="9"/>
        <v/>
      </c>
      <c r="T112" s="1054"/>
      <c r="U112" s="1055"/>
      <c r="V112" s="1253" t="str">
        <f t="shared" si="10"/>
        <v/>
      </c>
      <c r="W112" s="1048"/>
      <c r="X112" s="1048"/>
      <c r="Y112" s="1048"/>
      <c r="Z112" s="1048"/>
      <c r="AA112" s="1048"/>
      <c r="AB112" s="1048"/>
      <c r="AC112" s="1048"/>
      <c r="AD112" s="1048"/>
      <c r="AE112" s="1048"/>
      <c r="AF112" s="1048"/>
      <c r="AG112" s="1048"/>
      <c r="AH112" s="1048"/>
      <c r="AI112" s="1048"/>
      <c r="AJ112" s="1048"/>
      <c r="AK112" s="1048"/>
      <c r="AL112" s="1048"/>
      <c r="AM112" s="1048"/>
      <c r="AN112" s="1048"/>
      <c r="AO112" s="1048"/>
      <c r="AP112" s="1048"/>
      <c r="AQ112" s="1048"/>
    </row>
    <row r="113" spans="2:43" x14ac:dyDescent="0.25">
      <c r="B113" s="1064"/>
      <c r="C113" s="1065"/>
      <c r="D113" s="1064"/>
      <c r="E113" s="1067"/>
      <c r="F113" s="1067"/>
      <c r="G113" s="1052"/>
      <c r="H113" s="1055"/>
      <c r="I113" s="1055"/>
      <c r="J113" s="1114" t="str">
        <f t="shared" si="6"/>
        <v/>
      </c>
      <c r="K113" s="1055"/>
      <c r="L113" s="1055"/>
      <c r="M113" s="1115" t="str">
        <f t="shared" si="7"/>
        <v/>
      </c>
      <c r="N113" s="1055"/>
      <c r="O113" s="1055"/>
      <c r="P113" s="1115" t="str">
        <f t="shared" si="8"/>
        <v/>
      </c>
      <c r="Q113" s="1055"/>
      <c r="R113" s="1055"/>
      <c r="S113" s="1115" t="str">
        <f t="shared" si="9"/>
        <v/>
      </c>
      <c r="T113" s="1054"/>
      <c r="U113" s="1055"/>
      <c r="V113" s="1253" t="str">
        <f t="shared" si="10"/>
        <v/>
      </c>
      <c r="W113" s="1048"/>
      <c r="X113" s="1048"/>
      <c r="Y113" s="1048"/>
      <c r="Z113" s="1048"/>
      <c r="AA113" s="1048"/>
      <c r="AB113" s="1048"/>
      <c r="AC113" s="1048"/>
      <c r="AD113" s="1048"/>
      <c r="AE113" s="1048"/>
      <c r="AF113" s="1048"/>
      <c r="AG113" s="1048"/>
      <c r="AH113" s="1048"/>
      <c r="AI113" s="1048"/>
      <c r="AJ113" s="1048"/>
      <c r="AK113" s="1048"/>
      <c r="AL113" s="1048"/>
      <c r="AM113" s="1048"/>
      <c r="AN113" s="1048"/>
      <c r="AO113" s="1048"/>
      <c r="AP113" s="1048"/>
      <c r="AQ113" s="1048"/>
    </row>
    <row r="114" spans="2:43" x14ac:dyDescent="0.25">
      <c r="B114" s="1064"/>
      <c r="C114" s="1065"/>
      <c r="D114" s="1064"/>
      <c r="E114" s="1067"/>
      <c r="F114" s="1067"/>
      <c r="G114" s="1052"/>
      <c r="H114" s="1055"/>
      <c r="I114" s="1055"/>
      <c r="J114" s="1114" t="str">
        <f t="shared" si="6"/>
        <v/>
      </c>
      <c r="K114" s="1055"/>
      <c r="L114" s="1055"/>
      <c r="M114" s="1115" t="str">
        <f t="shared" si="7"/>
        <v/>
      </c>
      <c r="N114" s="1055"/>
      <c r="O114" s="1055"/>
      <c r="P114" s="1115" t="str">
        <f t="shared" si="8"/>
        <v/>
      </c>
      <c r="Q114" s="1055"/>
      <c r="R114" s="1055"/>
      <c r="S114" s="1115" t="str">
        <f t="shared" si="9"/>
        <v/>
      </c>
      <c r="T114" s="1054"/>
      <c r="U114" s="1055"/>
      <c r="V114" s="1253" t="str">
        <f t="shared" si="10"/>
        <v/>
      </c>
      <c r="W114" s="1048"/>
      <c r="X114" s="1048"/>
      <c r="Y114" s="1048"/>
      <c r="Z114" s="1048"/>
      <c r="AA114" s="1048"/>
      <c r="AB114" s="1048"/>
      <c r="AC114" s="1048"/>
      <c r="AD114" s="1048"/>
      <c r="AE114" s="1048"/>
      <c r="AF114" s="1048"/>
      <c r="AG114" s="1048"/>
      <c r="AH114" s="1048"/>
      <c r="AI114" s="1048"/>
      <c r="AJ114" s="1048"/>
      <c r="AK114" s="1048"/>
      <c r="AL114" s="1048"/>
      <c r="AM114" s="1048"/>
      <c r="AN114" s="1048"/>
      <c r="AO114" s="1048"/>
      <c r="AP114" s="1048"/>
      <c r="AQ114" s="1048"/>
    </row>
    <row r="115" spans="2:43" x14ac:dyDescent="0.25">
      <c r="B115" s="1064"/>
      <c r="C115" s="1065"/>
      <c r="D115" s="1064"/>
      <c r="E115" s="1067"/>
      <c r="F115" s="1067"/>
      <c r="G115" s="1052"/>
      <c r="H115" s="1055"/>
      <c r="I115" s="1055"/>
      <c r="J115" s="1114" t="str">
        <f t="shared" si="6"/>
        <v/>
      </c>
      <c r="K115" s="1055"/>
      <c r="L115" s="1055"/>
      <c r="M115" s="1115" t="str">
        <f t="shared" si="7"/>
        <v/>
      </c>
      <c r="N115" s="1055"/>
      <c r="O115" s="1055"/>
      <c r="P115" s="1115" t="str">
        <f t="shared" si="8"/>
        <v/>
      </c>
      <c r="Q115" s="1055"/>
      <c r="R115" s="1055"/>
      <c r="S115" s="1115" t="str">
        <f t="shared" si="9"/>
        <v/>
      </c>
      <c r="T115" s="1054"/>
      <c r="U115" s="1055"/>
      <c r="V115" s="1253" t="str">
        <f t="shared" si="10"/>
        <v/>
      </c>
      <c r="W115" s="1048"/>
      <c r="X115" s="1048"/>
      <c r="Y115" s="1048"/>
      <c r="Z115" s="1048"/>
      <c r="AA115" s="1048"/>
      <c r="AB115" s="1048"/>
      <c r="AC115" s="1048"/>
      <c r="AD115" s="1048"/>
      <c r="AE115" s="1048"/>
      <c r="AF115" s="1048"/>
      <c r="AG115" s="1048"/>
      <c r="AH115" s="1048"/>
      <c r="AI115" s="1048"/>
      <c r="AJ115" s="1048"/>
      <c r="AK115" s="1048"/>
      <c r="AL115" s="1048"/>
      <c r="AM115" s="1048"/>
      <c r="AN115" s="1048"/>
      <c r="AO115" s="1048"/>
      <c r="AP115" s="1048"/>
      <c r="AQ115" s="1048"/>
    </row>
    <row r="116" spans="2:43" x14ac:dyDescent="0.25">
      <c r="B116" s="1064"/>
      <c r="C116" s="1065"/>
      <c r="D116" s="1064"/>
      <c r="E116" s="1067"/>
      <c r="F116" s="1067"/>
      <c r="G116" s="1052"/>
      <c r="H116" s="1055"/>
      <c r="I116" s="1055"/>
      <c r="J116" s="1114" t="str">
        <f t="shared" si="6"/>
        <v/>
      </c>
      <c r="K116" s="1055"/>
      <c r="L116" s="1055"/>
      <c r="M116" s="1115" t="str">
        <f t="shared" si="7"/>
        <v/>
      </c>
      <c r="N116" s="1055"/>
      <c r="O116" s="1055"/>
      <c r="P116" s="1115" t="str">
        <f t="shared" si="8"/>
        <v/>
      </c>
      <c r="Q116" s="1055"/>
      <c r="R116" s="1055"/>
      <c r="S116" s="1115" t="str">
        <f t="shared" si="9"/>
        <v/>
      </c>
      <c r="T116" s="1054"/>
      <c r="U116" s="1055"/>
      <c r="V116" s="1253" t="str">
        <f t="shared" si="10"/>
        <v/>
      </c>
      <c r="W116" s="1048"/>
      <c r="X116" s="1048"/>
      <c r="Y116" s="1048"/>
      <c r="Z116" s="1048"/>
      <c r="AA116" s="1048"/>
      <c r="AB116" s="1048"/>
      <c r="AC116" s="1048"/>
      <c r="AD116" s="1048"/>
      <c r="AE116" s="1048"/>
      <c r="AF116" s="1048"/>
      <c r="AG116" s="1048"/>
      <c r="AH116" s="1048"/>
      <c r="AI116" s="1048"/>
      <c r="AJ116" s="1048"/>
      <c r="AK116" s="1048"/>
      <c r="AL116" s="1048"/>
      <c r="AM116" s="1048"/>
      <c r="AN116" s="1048"/>
      <c r="AO116" s="1048"/>
      <c r="AP116" s="1048"/>
      <c r="AQ116" s="1048"/>
    </row>
    <row r="117" spans="2:43" x14ac:dyDescent="0.25">
      <c r="B117" s="1064"/>
      <c r="C117" s="1065"/>
      <c r="D117" s="1064"/>
      <c r="E117" s="1067"/>
      <c r="F117" s="1067"/>
      <c r="G117" s="1052"/>
      <c r="H117" s="1055"/>
      <c r="I117" s="1055"/>
      <c r="J117" s="1114" t="str">
        <f t="shared" si="6"/>
        <v/>
      </c>
      <c r="K117" s="1055"/>
      <c r="L117" s="1055"/>
      <c r="M117" s="1115" t="str">
        <f t="shared" si="7"/>
        <v/>
      </c>
      <c r="N117" s="1055"/>
      <c r="O117" s="1055"/>
      <c r="P117" s="1115" t="str">
        <f t="shared" si="8"/>
        <v/>
      </c>
      <c r="Q117" s="1055"/>
      <c r="R117" s="1055"/>
      <c r="S117" s="1115" t="str">
        <f t="shared" si="9"/>
        <v/>
      </c>
      <c r="T117" s="1054"/>
      <c r="U117" s="1055"/>
      <c r="V117" s="1253" t="str">
        <f t="shared" si="10"/>
        <v/>
      </c>
      <c r="W117" s="1048"/>
      <c r="X117" s="1048"/>
      <c r="Y117" s="1048"/>
      <c r="Z117" s="1048"/>
      <c r="AA117" s="1048"/>
      <c r="AB117" s="1048"/>
      <c r="AC117" s="1048"/>
      <c r="AD117" s="1048"/>
      <c r="AE117" s="1048"/>
      <c r="AF117" s="1048"/>
      <c r="AG117" s="1048"/>
      <c r="AH117" s="1048"/>
      <c r="AI117" s="1048"/>
      <c r="AJ117" s="1048"/>
      <c r="AK117" s="1048"/>
      <c r="AL117" s="1048"/>
      <c r="AM117" s="1048"/>
      <c r="AN117" s="1048"/>
      <c r="AO117" s="1048"/>
      <c r="AP117" s="1048"/>
      <c r="AQ117" s="1048"/>
    </row>
    <row r="118" spans="2:43" x14ac:dyDescent="0.25">
      <c r="B118" s="1064"/>
      <c r="C118" s="1065"/>
      <c r="D118" s="1064"/>
      <c r="E118" s="1067"/>
      <c r="F118" s="1067"/>
      <c r="G118" s="1052"/>
      <c r="H118" s="1055"/>
      <c r="I118" s="1055"/>
      <c r="J118" s="1114" t="str">
        <f t="shared" si="6"/>
        <v/>
      </c>
      <c r="K118" s="1055"/>
      <c r="L118" s="1055"/>
      <c r="M118" s="1115" t="str">
        <f t="shared" si="7"/>
        <v/>
      </c>
      <c r="N118" s="1055"/>
      <c r="O118" s="1055"/>
      <c r="P118" s="1115" t="str">
        <f t="shared" si="8"/>
        <v/>
      </c>
      <c r="Q118" s="1055"/>
      <c r="R118" s="1055"/>
      <c r="S118" s="1115" t="str">
        <f t="shared" si="9"/>
        <v/>
      </c>
      <c r="T118" s="1054"/>
      <c r="U118" s="1055"/>
      <c r="V118" s="1253" t="str">
        <f t="shared" si="10"/>
        <v/>
      </c>
      <c r="W118" s="1048"/>
      <c r="X118" s="1048"/>
      <c r="Y118" s="1048"/>
      <c r="Z118" s="1048"/>
      <c r="AA118" s="1048"/>
      <c r="AB118" s="1048"/>
      <c r="AC118" s="1048"/>
      <c r="AD118" s="1048"/>
      <c r="AE118" s="1048"/>
      <c r="AF118" s="1048"/>
      <c r="AG118" s="1048"/>
      <c r="AH118" s="1048"/>
      <c r="AI118" s="1048"/>
      <c r="AJ118" s="1048"/>
      <c r="AK118" s="1048"/>
      <c r="AL118" s="1048"/>
      <c r="AM118" s="1048"/>
      <c r="AN118" s="1048"/>
      <c r="AO118" s="1048"/>
      <c r="AP118" s="1048"/>
      <c r="AQ118" s="1048"/>
    </row>
    <row r="119" spans="2:43" x14ac:dyDescent="0.25">
      <c r="B119" s="1064"/>
      <c r="C119" s="1065"/>
      <c r="D119" s="1064"/>
      <c r="E119" s="1067"/>
      <c r="F119" s="1067"/>
      <c r="G119" s="1052"/>
      <c r="H119" s="1055"/>
      <c r="I119" s="1055"/>
      <c r="J119" s="1114" t="str">
        <f t="shared" si="6"/>
        <v/>
      </c>
      <c r="K119" s="1055"/>
      <c r="L119" s="1055"/>
      <c r="M119" s="1115" t="str">
        <f t="shared" si="7"/>
        <v/>
      </c>
      <c r="N119" s="1055"/>
      <c r="O119" s="1055"/>
      <c r="P119" s="1115" t="str">
        <f t="shared" si="8"/>
        <v/>
      </c>
      <c r="Q119" s="1055"/>
      <c r="R119" s="1055"/>
      <c r="S119" s="1115" t="str">
        <f t="shared" si="9"/>
        <v/>
      </c>
      <c r="T119" s="1054"/>
      <c r="U119" s="1055"/>
      <c r="V119" s="1253" t="str">
        <f t="shared" si="10"/>
        <v/>
      </c>
      <c r="W119" s="1048"/>
      <c r="X119" s="1048"/>
      <c r="Y119" s="1048"/>
      <c r="Z119" s="1048"/>
      <c r="AA119" s="1048"/>
      <c r="AB119" s="1048"/>
      <c r="AC119" s="1048"/>
      <c r="AD119" s="1048"/>
      <c r="AE119" s="1048"/>
      <c r="AF119" s="1048"/>
      <c r="AG119" s="1048"/>
      <c r="AH119" s="1048"/>
      <c r="AI119" s="1048"/>
      <c r="AJ119" s="1048"/>
      <c r="AK119" s="1048"/>
      <c r="AL119" s="1048"/>
      <c r="AM119" s="1048"/>
      <c r="AN119" s="1048"/>
      <c r="AO119" s="1048"/>
      <c r="AP119" s="1048"/>
      <c r="AQ119" s="1048"/>
    </row>
    <row r="120" spans="2:43" x14ac:dyDescent="0.25">
      <c r="B120" s="1064"/>
      <c r="C120" s="1065"/>
      <c r="D120" s="1064"/>
      <c r="E120" s="1067"/>
      <c r="F120" s="1067"/>
      <c r="G120" s="1052"/>
      <c r="H120" s="1055"/>
      <c r="I120" s="1055"/>
      <c r="J120" s="1114" t="str">
        <f t="shared" si="6"/>
        <v/>
      </c>
      <c r="K120" s="1055"/>
      <c r="L120" s="1055"/>
      <c r="M120" s="1115" t="str">
        <f t="shared" si="7"/>
        <v/>
      </c>
      <c r="N120" s="1055"/>
      <c r="O120" s="1055"/>
      <c r="P120" s="1115" t="str">
        <f t="shared" si="8"/>
        <v/>
      </c>
      <c r="Q120" s="1055"/>
      <c r="R120" s="1055"/>
      <c r="S120" s="1115" t="str">
        <f t="shared" si="9"/>
        <v/>
      </c>
      <c r="T120" s="1054"/>
      <c r="U120" s="1055"/>
      <c r="V120" s="1253" t="str">
        <f t="shared" si="10"/>
        <v/>
      </c>
      <c r="W120" s="1048"/>
      <c r="X120" s="1048"/>
      <c r="Y120" s="1048"/>
      <c r="Z120" s="1048"/>
      <c r="AA120" s="1048"/>
      <c r="AB120" s="1048"/>
      <c r="AC120" s="1048"/>
      <c r="AD120" s="1048"/>
      <c r="AE120" s="1048"/>
      <c r="AF120" s="1048"/>
      <c r="AG120" s="1048"/>
      <c r="AH120" s="1048"/>
      <c r="AI120" s="1048"/>
      <c r="AJ120" s="1048"/>
      <c r="AK120" s="1048"/>
      <c r="AL120" s="1048"/>
      <c r="AM120" s="1048"/>
      <c r="AN120" s="1048"/>
      <c r="AO120" s="1048"/>
      <c r="AP120" s="1048"/>
      <c r="AQ120" s="1048"/>
    </row>
    <row r="121" spans="2:43" x14ac:dyDescent="0.25">
      <c r="B121" s="1064"/>
      <c r="C121" s="1065"/>
      <c r="D121" s="1064"/>
      <c r="E121" s="1067"/>
      <c r="F121" s="1067"/>
      <c r="G121" s="1052"/>
      <c r="H121" s="1055"/>
      <c r="I121" s="1055"/>
      <c r="J121" s="1114" t="str">
        <f t="shared" si="6"/>
        <v/>
      </c>
      <c r="K121" s="1055"/>
      <c r="L121" s="1055"/>
      <c r="M121" s="1115" t="str">
        <f t="shared" si="7"/>
        <v/>
      </c>
      <c r="N121" s="1055"/>
      <c r="O121" s="1055"/>
      <c r="P121" s="1115" t="str">
        <f t="shared" si="8"/>
        <v/>
      </c>
      <c r="Q121" s="1055"/>
      <c r="R121" s="1055"/>
      <c r="S121" s="1115" t="str">
        <f t="shared" si="9"/>
        <v/>
      </c>
      <c r="T121" s="1054"/>
      <c r="U121" s="1055"/>
      <c r="V121" s="1253" t="str">
        <f t="shared" si="10"/>
        <v/>
      </c>
      <c r="W121" s="1048"/>
      <c r="X121" s="1048"/>
      <c r="Y121" s="1048"/>
      <c r="Z121" s="1048"/>
      <c r="AA121" s="1048"/>
      <c r="AB121" s="1048"/>
      <c r="AC121" s="1048"/>
      <c r="AD121" s="1048"/>
      <c r="AE121" s="1048"/>
      <c r="AF121" s="1048"/>
      <c r="AG121" s="1048"/>
      <c r="AH121" s="1048"/>
      <c r="AI121" s="1048"/>
      <c r="AJ121" s="1048"/>
      <c r="AK121" s="1048"/>
      <c r="AL121" s="1048"/>
      <c r="AM121" s="1048"/>
      <c r="AN121" s="1048"/>
      <c r="AO121" s="1048"/>
      <c r="AP121" s="1048"/>
      <c r="AQ121" s="1048"/>
    </row>
    <row r="122" spans="2:43" x14ac:dyDescent="0.25">
      <c r="B122" s="1064"/>
      <c r="C122" s="1065"/>
      <c r="D122" s="1064"/>
      <c r="E122" s="1067"/>
      <c r="F122" s="1067"/>
      <c r="G122" s="1052"/>
      <c r="H122" s="1055"/>
      <c r="I122" s="1055"/>
      <c r="J122" s="1114" t="str">
        <f t="shared" si="6"/>
        <v/>
      </c>
      <c r="K122" s="1055"/>
      <c r="L122" s="1055"/>
      <c r="M122" s="1115" t="str">
        <f t="shared" si="7"/>
        <v/>
      </c>
      <c r="N122" s="1055"/>
      <c r="O122" s="1055"/>
      <c r="P122" s="1115" t="str">
        <f t="shared" si="8"/>
        <v/>
      </c>
      <c r="Q122" s="1055"/>
      <c r="R122" s="1055"/>
      <c r="S122" s="1115" t="str">
        <f t="shared" si="9"/>
        <v/>
      </c>
      <c r="T122" s="1054"/>
      <c r="U122" s="1055"/>
      <c r="V122" s="1253" t="str">
        <f t="shared" si="10"/>
        <v/>
      </c>
      <c r="W122" s="1048"/>
      <c r="X122" s="1048"/>
      <c r="Y122" s="1048"/>
      <c r="Z122" s="1048"/>
      <c r="AA122" s="1048"/>
      <c r="AB122" s="1048"/>
      <c r="AC122" s="1048"/>
      <c r="AD122" s="1048"/>
      <c r="AE122" s="1048"/>
      <c r="AF122" s="1048"/>
      <c r="AG122" s="1048"/>
      <c r="AH122" s="1048"/>
      <c r="AI122" s="1048"/>
      <c r="AJ122" s="1048"/>
      <c r="AK122" s="1048"/>
      <c r="AL122" s="1048"/>
      <c r="AM122" s="1048"/>
      <c r="AN122" s="1048"/>
      <c r="AO122" s="1048"/>
      <c r="AP122" s="1048"/>
      <c r="AQ122" s="1048"/>
    </row>
    <row r="123" spans="2:43" x14ac:dyDescent="0.25">
      <c r="B123" s="1064"/>
      <c r="C123" s="1065"/>
      <c r="D123" s="1064"/>
      <c r="E123" s="1067"/>
      <c r="F123" s="1067"/>
      <c r="G123" s="1052"/>
      <c r="H123" s="1055"/>
      <c r="I123" s="1055"/>
      <c r="J123" s="1114" t="str">
        <f t="shared" si="6"/>
        <v/>
      </c>
      <c r="K123" s="1055"/>
      <c r="L123" s="1055"/>
      <c r="M123" s="1115" t="str">
        <f t="shared" si="7"/>
        <v/>
      </c>
      <c r="N123" s="1055"/>
      <c r="O123" s="1055"/>
      <c r="P123" s="1115" t="str">
        <f t="shared" si="8"/>
        <v/>
      </c>
      <c r="Q123" s="1055"/>
      <c r="R123" s="1055"/>
      <c r="S123" s="1115" t="str">
        <f t="shared" si="9"/>
        <v/>
      </c>
      <c r="T123" s="1054"/>
      <c r="U123" s="1055"/>
      <c r="V123" s="1253" t="str">
        <f t="shared" si="10"/>
        <v/>
      </c>
      <c r="W123" s="1048"/>
      <c r="X123" s="1048"/>
      <c r="Y123" s="1048"/>
      <c r="Z123" s="1048"/>
      <c r="AA123" s="1048"/>
      <c r="AB123" s="1048"/>
      <c r="AC123" s="1048"/>
      <c r="AD123" s="1048"/>
      <c r="AE123" s="1048"/>
      <c r="AF123" s="1048"/>
      <c r="AG123" s="1048"/>
      <c r="AH123" s="1048"/>
      <c r="AI123" s="1048"/>
      <c r="AJ123" s="1048"/>
      <c r="AK123" s="1048"/>
      <c r="AL123" s="1048"/>
      <c r="AM123" s="1048"/>
      <c r="AN123" s="1048"/>
      <c r="AO123" s="1048"/>
      <c r="AP123" s="1048"/>
      <c r="AQ123" s="1048"/>
    </row>
    <row r="124" spans="2:43" x14ac:dyDescent="0.25">
      <c r="B124" s="1064"/>
      <c r="C124" s="1065"/>
      <c r="D124" s="1064"/>
      <c r="E124" s="1067"/>
      <c r="F124" s="1067"/>
      <c r="G124" s="1052"/>
      <c r="H124" s="1055"/>
      <c r="I124" s="1055"/>
      <c r="J124" s="1114" t="str">
        <f t="shared" si="6"/>
        <v/>
      </c>
      <c r="K124" s="1055"/>
      <c r="L124" s="1055"/>
      <c r="M124" s="1115" t="str">
        <f t="shared" si="7"/>
        <v/>
      </c>
      <c r="N124" s="1055"/>
      <c r="O124" s="1055"/>
      <c r="P124" s="1115" t="str">
        <f t="shared" si="8"/>
        <v/>
      </c>
      <c r="Q124" s="1055"/>
      <c r="R124" s="1055"/>
      <c r="S124" s="1115" t="str">
        <f t="shared" si="9"/>
        <v/>
      </c>
      <c r="T124" s="1054"/>
      <c r="U124" s="1055"/>
      <c r="V124" s="1253" t="str">
        <f t="shared" si="10"/>
        <v/>
      </c>
      <c r="W124" s="1048"/>
      <c r="X124" s="1048"/>
      <c r="Y124" s="1048"/>
      <c r="Z124" s="1048"/>
      <c r="AA124" s="1048"/>
      <c r="AB124" s="1048"/>
      <c r="AC124" s="1048"/>
      <c r="AD124" s="1048"/>
      <c r="AE124" s="1048"/>
      <c r="AF124" s="1048"/>
      <c r="AG124" s="1048"/>
      <c r="AH124" s="1048"/>
      <c r="AI124" s="1048"/>
      <c r="AJ124" s="1048"/>
      <c r="AK124" s="1048"/>
      <c r="AL124" s="1048"/>
      <c r="AM124" s="1048"/>
      <c r="AN124" s="1048"/>
      <c r="AO124" s="1048"/>
      <c r="AP124" s="1048"/>
      <c r="AQ124" s="1048"/>
    </row>
    <row r="125" spans="2:43" x14ac:dyDescent="0.25">
      <c r="B125" s="1064"/>
      <c r="C125" s="1065"/>
      <c r="D125" s="1064"/>
      <c r="E125" s="1067"/>
      <c r="F125" s="1067"/>
      <c r="G125" s="1052"/>
      <c r="H125" s="1055"/>
      <c r="I125" s="1055"/>
      <c r="J125" s="1114" t="str">
        <f t="shared" si="6"/>
        <v/>
      </c>
      <c r="K125" s="1055"/>
      <c r="L125" s="1055"/>
      <c r="M125" s="1115" t="str">
        <f t="shared" si="7"/>
        <v/>
      </c>
      <c r="N125" s="1055"/>
      <c r="O125" s="1055"/>
      <c r="P125" s="1115" t="str">
        <f t="shared" si="8"/>
        <v/>
      </c>
      <c r="Q125" s="1055"/>
      <c r="R125" s="1055"/>
      <c r="S125" s="1115" t="str">
        <f t="shared" si="9"/>
        <v/>
      </c>
      <c r="T125" s="1054"/>
      <c r="U125" s="1055"/>
      <c r="V125" s="1253" t="str">
        <f t="shared" si="10"/>
        <v/>
      </c>
      <c r="W125" s="1048"/>
      <c r="X125" s="1048"/>
      <c r="Y125" s="1048"/>
      <c r="Z125" s="1048"/>
      <c r="AA125" s="1048"/>
      <c r="AB125" s="1048"/>
      <c r="AC125" s="1048"/>
      <c r="AD125" s="1048"/>
      <c r="AE125" s="1048"/>
      <c r="AF125" s="1048"/>
      <c r="AG125" s="1048"/>
      <c r="AH125" s="1048"/>
      <c r="AI125" s="1048"/>
      <c r="AJ125" s="1048"/>
      <c r="AK125" s="1048"/>
      <c r="AL125" s="1048"/>
      <c r="AM125" s="1048"/>
      <c r="AN125" s="1048"/>
      <c r="AO125" s="1048"/>
      <c r="AP125" s="1048"/>
      <c r="AQ125" s="1048"/>
    </row>
    <row r="126" spans="2:43" x14ac:dyDescent="0.25">
      <c r="B126" s="1064"/>
      <c r="C126" s="1065"/>
      <c r="D126" s="1064"/>
      <c r="E126" s="1067"/>
      <c r="F126" s="1067"/>
      <c r="G126" s="1052"/>
      <c r="H126" s="1055"/>
      <c r="I126" s="1055"/>
      <c r="J126" s="1114" t="str">
        <f t="shared" si="6"/>
        <v/>
      </c>
      <c r="K126" s="1055"/>
      <c r="L126" s="1055"/>
      <c r="M126" s="1115" t="str">
        <f t="shared" si="7"/>
        <v/>
      </c>
      <c r="N126" s="1055"/>
      <c r="O126" s="1055"/>
      <c r="P126" s="1115" t="str">
        <f t="shared" si="8"/>
        <v/>
      </c>
      <c r="Q126" s="1055"/>
      <c r="R126" s="1055"/>
      <c r="S126" s="1115" t="str">
        <f t="shared" si="9"/>
        <v/>
      </c>
      <c r="T126" s="1054"/>
      <c r="U126" s="1055"/>
      <c r="V126" s="1253" t="str">
        <f t="shared" si="10"/>
        <v/>
      </c>
      <c r="W126" s="1048"/>
      <c r="X126" s="1048"/>
      <c r="Y126" s="1048"/>
      <c r="Z126" s="1048"/>
      <c r="AA126" s="1048"/>
      <c r="AB126" s="1048"/>
      <c r="AC126" s="1048"/>
      <c r="AD126" s="1048"/>
      <c r="AE126" s="1048"/>
      <c r="AF126" s="1048"/>
      <c r="AG126" s="1048"/>
      <c r="AH126" s="1048"/>
      <c r="AI126" s="1048"/>
      <c r="AJ126" s="1048"/>
      <c r="AK126" s="1048"/>
      <c r="AL126" s="1048"/>
      <c r="AM126" s="1048"/>
      <c r="AN126" s="1048"/>
      <c r="AO126" s="1048"/>
      <c r="AP126" s="1048"/>
      <c r="AQ126" s="1048"/>
    </row>
    <row r="127" spans="2:43" x14ac:dyDescent="0.25">
      <c r="B127" s="1064"/>
      <c r="C127" s="1065"/>
      <c r="D127" s="1064"/>
      <c r="E127" s="1067"/>
      <c r="F127" s="1067"/>
      <c r="G127" s="1052"/>
      <c r="H127" s="1055"/>
      <c r="I127" s="1055"/>
      <c r="J127" s="1114" t="str">
        <f t="shared" si="6"/>
        <v/>
      </c>
      <c r="K127" s="1055"/>
      <c r="L127" s="1055"/>
      <c r="M127" s="1115" t="str">
        <f t="shared" si="7"/>
        <v/>
      </c>
      <c r="N127" s="1055"/>
      <c r="O127" s="1055"/>
      <c r="P127" s="1115" t="str">
        <f t="shared" si="8"/>
        <v/>
      </c>
      <c r="Q127" s="1055"/>
      <c r="R127" s="1055"/>
      <c r="S127" s="1115" t="str">
        <f t="shared" si="9"/>
        <v/>
      </c>
      <c r="T127" s="1054"/>
      <c r="U127" s="1055"/>
      <c r="V127" s="1253" t="str">
        <f t="shared" si="10"/>
        <v/>
      </c>
      <c r="W127" s="1048"/>
      <c r="X127" s="1048"/>
      <c r="Y127" s="1048"/>
      <c r="Z127" s="1048"/>
      <c r="AA127" s="1048"/>
      <c r="AB127" s="1048"/>
      <c r="AC127" s="1048"/>
      <c r="AD127" s="1048"/>
      <c r="AE127" s="1048"/>
      <c r="AF127" s="1048"/>
      <c r="AG127" s="1048"/>
      <c r="AH127" s="1048"/>
      <c r="AI127" s="1048"/>
      <c r="AJ127" s="1048"/>
      <c r="AK127" s="1048"/>
      <c r="AL127" s="1048"/>
      <c r="AM127" s="1048"/>
      <c r="AN127" s="1048"/>
      <c r="AO127" s="1048"/>
      <c r="AP127" s="1048"/>
      <c r="AQ127" s="1048"/>
    </row>
    <row r="128" spans="2:43" x14ac:dyDescent="0.25">
      <c r="B128" s="1064"/>
      <c r="C128" s="1065"/>
      <c r="D128" s="1064"/>
      <c r="E128" s="1067"/>
      <c r="F128" s="1067"/>
      <c r="G128" s="1052"/>
      <c r="H128" s="1055"/>
      <c r="I128" s="1055"/>
      <c r="J128" s="1114" t="str">
        <f t="shared" si="6"/>
        <v/>
      </c>
      <c r="K128" s="1055"/>
      <c r="L128" s="1055"/>
      <c r="M128" s="1115" t="str">
        <f t="shared" si="7"/>
        <v/>
      </c>
      <c r="N128" s="1055"/>
      <c r="O128" s="1055"/>
      <c r="P128" s="1115" t="str">
        <f t="shared" si="8"/>
        <v/>
      </c>
      <c r="Q128" s="1055"/>
      <c r="R128" s="1055"/>
      <c r="S128" s="1115" t="str">
        <f t="shared" si="9"/>
        <v/>
      </c>
      <c r="T128" s="1054"/>
      <c r="U128" s="1055"/>
      <c r="V128" s="1253" t="str">
        <f t="shared" si="10"/>
        <v/>
      </c>
      <c r="W128" s="1048"/>
      <c r="X128" s="1048"/>
      <c r="Y128" s="1048"/>
      <c r="Z128" s="1048"/>
      <c r="AA128" s="1048"/>
      <c r="AB128" s="1048"/>
      <c r="AC128" s="1048"/>
      <c r="AD128" s="1048"/>
      <c r="AE128" s="1048"/>
      <c r="AF128" s="1048"/>
      <c r="AG128" s="1048"/>
      <c r="AH128" s="1048"/>
      <c r="AI128" s="1048"/>
      <c r="AJ128" s="1048"/>
      <c r="AK128" s="1048"/>
      <c r="AL128" s="1048"/>
      <c r="AM128" s="1048"/>
      <c r="AN128" s="1048"/>
      <c r="AO128" s="1048"/>
      <c r="AP128" s="1048"/>
      <c r="AQ128" s="1048"/>
    </row>
    <row r="129" spans="2:43" x14ac:dyDescent="0.25">
      <c r="B129" s="1064"/>
      <c r="C129" s="1065"/>
      <c r="D129" s="1064"/>
      <c r="E129" s="1067"/>
      <c r="F129" s="1067"/>
      <c r="G129" s="1052"/>
      <c r="H129" s="1055"/>
      <c r="I129" s="1055"/>
      <c r="J129" s="1114" t="str">
        <f t="shared" si="6"/>
        <v/>
      </c>
      <c r="K129" s="1055"/>
      <c r="L129" s="1055"/>
      <c r="M129" s="1115" t="str">
        <f t="shared" si="7"/>
        <v/>
      </c>
      <c r="N129" s="1055"/>
      <c r="O129" s="1055"/>
      <c r="P129" s="1115" t="str">
        <f t="shared" si="8"/>
        <v/>
      </c>
      <c r="Q129" s="1055"/>
      <c r="R129" s="1055"/>
      <c r="S129" s="1115" t="str">
        <f t="shared" si="9"/>
        <v/>
      </c>
      <c r="T129" s="1054"/>
      <c r="U129" s="1055"/>
      <c r="V129" s="1253" t="str">
        <f t="shared" si="10"/>
        <v/>
      </c>
      <c r="W129" s="1048"/>
      <c r="X129" s="1048"/>
      <c r="Y129" s="1048"/>
      <c r="Z129" s="1048"/>
      <c r="AA129" s="1048"/>
      <c r="AB129" s="1048"/>
      <c r="AC129" s="1048"/>
      <c r="AD129" s="1048"/>
      <c r="AE129" s="1048"/>
      <c r="AF129" s="1048"/>
      <c r="AG129" s="1048"/>
      <c r="AH129" s="1048"/>
      <c r="AI129" s="1048"/>
      <c r="AJ129" s="1048"/>
      <c r="AK129" s="1048"/>
      <c r="AL129" s="1048"/>
      <c r="AM129" s="1048"/>
      <c r="AN129" s="1048"/>
      <c r="AO129" s="1048"/>
      <c r="AP129" s="1048"/>
      <c r="AQ129" s="1048"/>
    </row>
    <row r="130" spans="2:43" x14ac:dyDescent="0.25">
      <c r="B130" s="1064"/>
      <c r="C130" s="1065"/>
      <c r="D130" s="1064"/>
      <c r="E130" s="1067"/>
      <c r="F130" s="1067"/>
      <c r="G130" s="1052"/>
      <c r="H130" s="1055"/>
      <c r="I130" s="1055"/>
      <c r="J130" s="1114" t="str">
        <f t="shared" si="6"/>
        <v/>
      </c>
      <c r="K130" s="1055"/>
      <c r="L130" s="1055"/>
      <c r="M130" s="1115" t="str">
        <f t="shared" si="7"/>
        <v/>
      </c>
      <c r="N130" s="1055"/>
      <c r="O130" s="1055"/>
      <c r="P130" s="1115" t="str">
        <f t="shared" si="8"/>
        <v/>
      </c>
      <c r="Q130" s="1055"/>
      <c r="R130" s="1055"/>
      <c r="S130" s="1115" t="str">
        <f t="shared" si="9"/>
        <v/>
      </c>
      <c r="T130" s="1054"/>
      <c r="U130" s="1055"/>
      <c r="V130" s="1253" t="str">
        <f t="shared" si="10"/>
        <v/>
      </c>
      <c r="W130" s="1048"/>
      <c r="X130" s="1048"/>
      <c r="Y130" s="1048"/>
      <c r="Z130" s="1048"/>
      <c r="AA130" s="1048"/>
      <c r="AB130" s="1048"/>
      <c r="AC130" s="1048"/>
      <c r="AD130" s="1048"/>
      <c r="AE130" s="1048"/>
      <c r="AF130" s="1048"/>
      <c r="AG130" s="1048"/>
      <c r="AH130" s="1048"/>
      <c r="AI130" s="1048"/>
      <c r="AJ130" s="1048"/>
      <c r="AK130" s="1048"/>
      <c r="AL130" s="1048"/>
      <c r="AM130" s="1048"/>
      <c r="AN130" s="1048"/>
      <c r="AO130" s="1048"/>
      <c r="AP130" s="1048"/>
      <c r="AQ130" s="1048"/>
    </row>
    <row r="131" spans="2:43" x14ac:dyDescent="0.25">
      <c r="B131" s="1064"/>
      <c r="C131" s="1065"/>
      <c r="D131" s="1064"/>
      <c r="E131" s="1067"/>
      <c r="F131" s="1067"/>
      <c r="G131" s="1052"/>
      <c r="H131" s="1055"/>
      <c r="I131" s="1055"/>
      <c r="J131" s="1114" t="str">
        <f t="shared" si="6"/>
        <v/>
      </c>
      <c r="K131" s="1055"/>
      <c r="L131" s="1055"/>
      <c r="M131" s="1115" t="str">
        <f t="shared" si="7"/>
        <v/>
      </c>
      <c r="N131" s="1055"/>
      <c r="O131" s="1055"/>
      <c r="P131" s="1115" t="str">
        <f t="shared" si="8"/>
        <v/>
      </c>
      <c r="Q131" s="1055"/>
      <c r="R131" s="1055"/>
      <c r="S131" s="1115" t="str">
        <f t="shared" si="9"/>
        <v/>
      </c>
      <c r="T131" s="1054"/>
      <c r="U131" s="1055"/>
      <c r="V131" s="1253" t="str">
        <f t="shared" si="10"/>
        <v/>
      </c>
      <c r="W131" s="1048"/>
      <c r="X131" s="1048"/>
      <c r="Y131" s="1048"/>
      <c r="Z131" s="1048"/>
      <c r="AA131" s="1048"/>
      <c r="AB131" s="1048"/>
      <c r="AC131" s="1048"/>
      <c r="AD131" s="1048"/>
      <c r="AE131" s="1048"/>
      <c r="AF131" s="1048"/>
      <c r="AG131" s="1048"/>
      <c r="AH131" s="1048"/>
      <c r="AI131" s="1048"/>
      <c r="AJ131" s="1048"/>
      <c r="AK131" s="1048"/>
      <c r="AL131" s="1048"/>
      <c r="AM131" s="1048"/>
      <c r="AN131" s="1048"/>
      <c r="AO131" s="1048"/>
      <c r="AP131" s="1048"/>
      <c r="AQ131" s="1048"/>
    </row>
    <row r="132" spans="2:43" x14ac:dyDescent="0.25">
      <c r="B132" s="1064"/>
      <c r="C132" s="1065"/>
      <c r="D132" s="1064"/>
      <c r="E132" s="1067"/>
      <c r="F132" s="1067"/>
      <c r="G132" s="1052"/>
      <c r="H132" s="1055"/>
      <c r="I132" s="1055"/>
      <c r="J132" s="1114" t="str">
        <f t="shared" si="6"/>
        <v/>
      </c>
      <c r="K132" s="1055"/>
      <c r="L132" s="1055"/>
      <c r="M132" s="1115" t="str">
        <f t="shared" si="7"/>
        <v/>
      </c>
      <c r="N132" s="1055"/>
      <c r="O132" s="1055"/>
      <c r="P132" s="1115" t="str">
        <f t="shared" si="8"/>
        <v/>
      </c>
      <c r="Q132" s="1055"/>
      <c r="R132" s="1055"/>
      <c r="S132" s="1115" t="str">
        <f t="shared" si="9"/>
        <v/>
      </c>
      <c r="T132" s="1054"/>
      <c r="U132" s="1055"/>
      <c r="V132" s="1253" t="str">
        <f t="shared" si="10"/>
        <v/>
      </c>
      <c r="W132" s="1048"/>
      <c r="X132" s="1048"/>
      <c r="Y132" s="1048"/>
      <c r="Z132" s="1048"/>
      <c r="AA132" s="1048"/>
      <c r="AB132" s="1048"/>
      <c r="AC132" s="1048"/>
      <c r="AD132" s="1048"/>
      <c r="AE132" s="1048"/>
      <c r="AF132" s="1048"/>
      <c r="AG132" s="1048"/>
      <c r="AH132" s="1048"/>
      <c r="AI132" s="1048"/>
      <c r="AJ132" s="1048"/>
      <c r="AK132" s="1048"/>
      <c r="AL132" s="1048"/>
      <c r="AM132" s="1048"/>
      <c r="AN132" s="1048"/>
      <c r="AO132" s="1048"/>
      <c r="AP132" s="1048"/>
      <c r="AQ132" s="1048"/>
    </row>
    <row r="133" spans="2:43" x14ac:dyDescent="0.25">
      <c r="B133" s="1064"/>
      <c r="C133" s="1065"/>
      <c r="D133" s="1064"/>
      <c r="E133" s="1067"/>
      <c r="F133" s="1067"/>
      <c r="G133" s="1052"/>
      <c r="H133" s="1055"/>
      <c r="I133" s="1055"/>
      <c r="J133" s="1114" t="str">
        <f t="shared" si="6"/>
        <v/>
      </c>
      <c r="K133" s="1055"/>
      <c r="L133" s="1055"/>
      <c r="M133" s="1115" t="str">
        <f t="shared" si="7"/>
        <v/>
      </c>
      <c r="N133" s="1055"/>
      <c r="O133" s="1055"/>
      <c r="P133" s="1115" t="str">
        <f t="shared" si="8"/>
        <v/>
      </c>
      <c r="Q133" s="1055"/>
      <c r="R133" s="1055"/>
      <c r="S133" s="1115" t="str">
        <f t="shared" si="9"/>
        <v/>
      </c>
      <c r="T133" s="1054"/>
      <c r="U133" s="1055"/>
      <c r="V133" s="1253" t="str">
        <f t="shared" si="10"/>
        <v/>
      </c>
      <c r="W133" s="1048"/>
      <c r="X133" s="1048"/>
      <c r="Y133" s="1048"/>
      <c r="Z133" s="1048"/>
      <c r="AA133" s="1048"/>
      <c r="AB133" s="1048"/>
      <c r="AC133" s="1048"/>
      <c r="AD133" s="1048"/>
      <c r="AE133" s="1048"/>
      <c r="AF133" s="1048"/>
      <c r="AG133" s="1048"/>
      <c r="AH133" s="1048"/>
      <c r="AI133" s="1048"/>
      <c r="AJ133" s="1048"/>
      <c r="AK133" s="1048"/>
      <c r="AL133" s="1048"/>
      <c r="AM133" s="1048"/>
      <c r="AN133" s="1048"/>
      <c r="AO133" s="1048"/>
      <c r="AP133" s="1048"/>
      <c r="AQ133" s="1048"/>
    </row>
    <row r="134" spans="2:43" x14ac:dyDescent="0.25">
      <c r="B134" s="1064"/>
      <c r="C134" s="1065"/>
      <c r="D134" s="1064"/>
      <c r="E134" s="1067"/>
      <c r="F134" s="1067"/>
      <c r="G134" s="1052"/>
      <c r="H134" s="1055"/>
      <c r="I134" s="1055"/>
      <c r="J134" s="1114" t="str">
        <f t="shared" si="6"/>
        <v/>
      </c>
      <c r="K134" s="1055"/>
      <c r="L134" s="1055"/>
      <c r="M134" s="1115" t="str">
        <f t="shared" si="7"/>
        <v/>
      </c>
      <c r="N134" s="1055"/>
      <c r="O134" s="1055"/>
      <c r="P134" s="1115" t="str">
        <f t="shared" si="8"/>
        <v/>
      </c>
      <c r="Q134" s="1055"/>
      <c r="R134" s="1055"/>
      <c r="S134" s="1115" t="str">
        <f t="shared" si="9"/>
        <v/>
      </c>
      <c r="T134" s="1054"/>
      <c r="U134" s="1055"/>
      <c r="V134" s="1253" t="str">
        <f t="shared" si="10"/>
        <v/>
      </c>
      <c r="W134" s="1048"/>
      <c r="X134" s="1048"/>
      <c r="Y134" s="1048"/>
      <c r="Z134" s="1048"/>
      <c r="AA134" s="1048"/>
      <c r="AB134" s="1048"/>
      <c r="AC134" s="1048"/>
      <c r="AD134" s="1048"/>
      <c r="AE134" s="1048"/>
      <c r="AF134" s="1048"/>
      <c r="AG134" s="1048"/>
      <c r="AH134" s="1048"/>
      <c r="AI134" s="1048"/>
      <c r="AJ134" s="1048"/>
      <c r="AK134" s="1048"/>
      <c r="AL134" s="1048"/>
      <c r="AM134" s="1048"/>
      <c r="AN134" s="1048"/>
      <c r="AO134" s="1048"/>
      <c r="AP134" s="1048"/>
      <c r="AQ134" s="1048"/>
    </row>
    <row r="135" spans="2:43" x14ac:dyDescent="0.25">
      <c r="B135" s="1064"/>
      <c r="C135" s="1065"/>
      <c r="D135" s="1064"/>
      <c r="E135" s="1067"/>
      <c r="F135" s="1067"/>
      <c r="G135" s="1052"/>
      <c r="H135" s="1055"/>
      <c r="I135" s="1055"/>
      <c r="J135" s="1114" t="str">
        <f t="shared" si="6"/>
        <v/>
      </c>
      <c r="K135" s="1055"/>
      <c r="L135" s="1055"/>
      <c r="M135" s="1115" t="str">
        <f t="shared" si="7"/>
        <v/>
      </c>
      <c r="N135" s="1055"/>
      <c r="O135" s="1055"/>
      <c r="P135" s="1115" t="str">
        <f t="shared" si="8"/>
        <v/>
      </c>
      <c r="Q135" s="1055"/>
      <c r="R135" s="1055"/>
      <c r="S135" s="1115" t="str">
        <f t="shared" si="9"/>
        <v/>
      </c>
      <c r="T135" s="1054"/>
      <c r="U135" s="1055"/>
      <c r="V135" s="1253" t="str">
        <f t="shared" si="10"/>
        <v/>
      </c>
      <c r="W135" s="1048"/>
      <c r="X135" s="1048"/>
      <c r="Y135" s="1048"/>
      <c r="Z135" s="1048"/>
      <c r="AA135" s="1048"/>
      <c r="AB135" s="1048"/>
      <c r="AC135" s="1048"/>
      <c r="AD135" s="1048"/>
      <c r="AE135" s="1048"/>
      <c r="AF135" s="1048"/>
      <c r="AG135" s="1048"/>
      <c r="AH135" s="1048"/>
      <c r="AI135" s="1048"/>
      <c r="AJ135" s="1048"/>
      <c r="AK135" s="1048"/>
      <c r="AL135" s="1048"/>
      <c r="AM135" s="1048"/>
      <c r="AN135" s="1048"/>
      <c r="AO135" s="1048"/>
      <c r="AP135" s="1048"/>
      <c r="AQ135" s="1048"/>
    </row>
    <row r="136" spans="2:43" x14ac:dyDescent="0.25">
      <c r="B136" s="1064"/>
      <c r="C136" s="1065"/>
      <c r="D136" s="1064"/>
      <c r="E136" s="1067"/>
      <c r="F136" s="1067"/>
      <c r="G136" s="1052"/>
      <c r="H136" s="1055"/>
      <c r="I136" s="1055"/>
      <c r="J136" s="1114" t="str">
        <f t="shared" si="6"/>
        <v/>
      </c>
      <c r="K136" s="1055"/>
      <c r="L136" s="1055"/>
      <c r="M136" s="1115" t="str">
        <f t="shared" si="7"/>
        <v/>
      </c>
      <c r="N136" s="1055"/>
      <c r="O136" s="1055"/>
      <c r="P136" s="1115" t="str">
        <f t="shared" si="8"/>
        <v/>
      </c>
      <c r="Q136" s="1055"/>
      <c r="R136" s="1055"/>
      <c r="S136" s="1115" t="str">
        <f t="shared" si="9"/>
        <v/>
      </c>
      <c r="T136" s="1054"/>
      <c r="U136" s="1055"/>
      <c r="V136" s="1253" t="str">
        <f t="shared" si="10"/>
        <v/>
      </c>
      <c r="W136" s="1048"/>
      <c r="X136" s="1048"/>
      <c r="Y136" s="1048"/>
      <c r="Z136" s="1048"/>
      <c r="AA136" s="1048"/>
      <c r="AB136" s="1048"/>
      <c r="AC136" s="1048"/>
      <c r="AD136" s="1048"/>
      <c r="AE136" s="1048"/>
      <c r="AF136" s="1048"/>
      <c r="AG136" s="1048"/>
      <c r="AH136" s="1048"/>
      <c r="AI136" s="1048"/>
      <c r="AJ136" s="1048"/>
      <c r="AK136" s="1048"/>
      <c r="AL136" s="1048"/>
      <c r="AM136" s="1048"/>
      <c r="AN136" s="1048"/>
      <c r="AO136" s="1048"/>
      <c r="AP136" s="1048"/>
      <c r="AQ136" s="1048"/>
    </row>
    <row r="137" spans="2:43" x14ac:dyDescent="0.25">
      <c r="B137" s="1064"/>
      <c r="C137" s="1065"/>
      <c r="D137" s="1064"/>
      <c r="E137" s="1067"/>
      <c r="F137" s="1067"/>
      <c r="G137" s="1052"/>
      <c r="H137" s="1055"/>
      <c r="I137" s="1055"/>
      <c r="J137" s="1114" t="str">
        <f t="shared" si="6"/>
        <v/>
      </c>
      <c r="K137" s="1055"/>
      <c r="L137" s="1055"/>
      <c r="M137" s="1115" t="str">
        <f t="shared" si="7"/>
        <v/>
      </c>
      <c r="N137" s="1055"/>
      <c r="O137" s="1055"/>
      <c r="P137" s="1115" t="str">
        <f t="shared" si="8"/>
        <v/>
      </c>
      <c r="Q137" s="1055"/>
      <c r="R137" s="1055"/>
      <c r="S137" s="1115" t="str">
        <f t="shared" si="9"/>
        <v/>
      </c>
      <c r="T137" s="1054"/>
      <c r="U137" s="1055"/>
      <c r="V137" s="1253" t="str">
        <f t="shared" si="10"/>
        <v/>
      </c>
      <c r="W137" s="1048"/>
      <c r="X137" s="1048"/>
      <c r="Y137" s="1048"/>
      <c r="Z137" s="1048"/>
      <c r="AA137" s="1048"/>
      <c r="AB137" s="1048"/>
      <c r="AC137" s="1048"/>
      <c r="AD137" s="1048"/>
      <c r="AE137" s="1048"/>
      <c r="AF137" s="1048"/>
      <c r="AG137" s="1048"/>
      <c r="AH137" s="1048"/>
      <c r="AI137" s="1048"/>
      <c r="AJ137" s="1048"/>
      <c r="AK137" s="1048"/>
      <c r="AL137" s="1048"/>
      <c r="AM137" s="1048"/>
      <c r="AN137" s="1048"/>
      <c r="AO137" s="1048"/>
      <c r="AP137" s="1048"/>
      <c r="AQ137" s="1048"/>
    </row>
    <row r="138" spans="2:43" x14ac:dyDescent="0.25">
      <c r="B138" s="1064"/>
      <c r="C138" s="1065"/>
      <c r="D138" s="1064"/>
      <c r="E138" s="1067"/>
      <c r="F138" s="1067"/>
      <c r="G138" s="1052"/>
      <c r="H138" s="1055"/>
      <c r="I138" s="1055"/>
      <c r="J138" s="1114" t="str">
        <f t="shared" si="6"/>
        <v/>
      </c>
      <c r="K138" s="1055"/>
      <c r="L138" s="1055"/>
      <c r="M138" s="1115" t="str">
        <f t="shared" si="7"/>
        <v/>
      </c>
      <c r="N138" s="1055"/>
      <c r="O138" s="1055"/>
      <c r="P138" s="1115" t="str">
        <f t="shared" si="8"/>
        <v/>
      </c>
      <c r="Q138" s="1055"/>
      <c r="R138" s="1055"/>
      <c r="S138" s="1115" t="str">
        <f t="shared" si="9"/>
        <v/>
      </c>
      <c r="T138" s="1054"/>
      <c r="U138" s="1055"/>
      <c r="V138" s="1253" t="str">
        <f t="shared" si="10"/>
        <v/>
      </c>
      <c r="W138" s="1048"/>
      <c r="X138" s="1048"/>
      <c r="Y138" s="1048"/>
      <c r="Z138" s="1048"/>
      <c r="AA138" s="1048"/>
      <c r="AB138" s="1048"/>
      <c r="AC138" s="1048"/>
      <c r="AD138" s="1048"/>
      <c r="AE138" s="1048"/>
      <c r="AF138" s="1048"/>
      <c r="AG138" s="1048"/>
      <c r="AH138" s="1048"/>
      <c r="AI138" s="1048"/>
      <c r="AJ138" s="1048"/>
      <c r="AK138" s="1048"/>
      <c r="AL138" s="1048"/>
      <c r="AM138" s="1048"/>
      <c r="AN138" s="1048"/>
      <c r="AO138" s="1048"/>
      <c r="AP138" s="1048"/>
      <c r="AQ138" s="1048"/>
    </row>
    <row r="139" spans="2:43" x14ac:dyDescent="0.25">
      <c r="B139" s="1064"/>
      <c r="C139" s="1065"/>
      <c r="D139" s="1064"/>
      <c r="E139" s="1067"/>
      <c r="F139" s="1067"/>
      <c r="G139" s="1052"/>
      <c r="H139" s="1055"/>
      <c r="I139" s="1055"/>
      <c r="J139" s="1114" t="str">
        <f t="shared" si="6"/>
        <v/>
      </c>
      <c r="K139" s="1055"/>
      <c r="L139" s="1055"/>
      <c r="M139" s="1115" t="str">
        <f t="shared" si="7"/>
        <v/>
      </c>
      <c r="N139" s="1055"/>
      <c r="O139" s="1055"/>
      <c r="P139" s="1115" t="str">
        <f t="shared" si="8"/>
        <v/>
      </c>
      <c r="Q139" s="1055"/>
      <c r="R139" s="1055"/>
      <c r="S139" s="1115" t="str">
        <f t="shared" si="9"/>
        <v/>
      </c>
      <c r="T139" s="1054"/>
      <c r="U139" s="1055"/>
      <c r="V139" s="1253" t="str">
        <f t="shared" si="10"/>
        <v/>
      </c>
      <c r="W139" s="1048"/>
      <c r="X139" s="1048"/>
      <c r="Y139" s="1048"/>
      <c r="Z139" s="1048"/>
      <c r="AA139" s="1048"/>
      <c r="AB139" s="1048"/>
      <c r="AC139" s="1048"/>
      <c r="AD139" s="1048"/>
      <c r="AE139" s="1048"/>
      <c r="AF139" s="1048"/>
      <c r="AG139" s="1048"/>
      <c r="AH139" s="1048"/>
      <c r="AI139" s="1048"/>
      <c r="AJ139" s="1048"/>
      <c r="AK139" s="1048"/>
      <c r="AL139" s="1048"/>
      <c r="AM139" s="1048"/>
      <c r="AN139" s="1048"/>
      <c r="AO139" s="1048"/>
      <c r="AP139" s="1048"/>
      <c r="AQ139" s="1048"/>
    </row>
    <row r="140" spans="2:43" x14ac:dyDescent="0.25">
      <c r="B140" s="1064"/>
      <c r="C140" s="1065"/>
      <c r="D140" s="1064"/>
      <c r="E140" s="1067"/>
      <c r="F140" s="1067"/>
      <c r="G140" s="1052"/>
      <c r="H140" s="1055"/>
      <c r="I140" s="1055"/>
      <c r="J140" s="1114" t="str">
        <f t="shared" si="6"/>
        <v/>
      </c>
      <c r="K140" s="1055"/>
      <c r="L140" s="1055"/>
      <c r="M140" s="1115" t="str">
        <f t="shared" si="7"/>
        <v/>
      </c>
      <c r="N140" s="1055"/>
      <c r="O140" s="1055"/>
      <c r="P140" s="1115" t="str">
        <f t="shared" si="8"/>
        <v/>
      </c>
      <c r="Q140" s="1055"/>
      <c r="R140" s="1055"/>
      <c r="S140" s="1115" t="str">
        <f t="shared" si="9"/>
        <v/>
      </c>
      <c r="T140" s="1054"/>
      <c r="U140" s="1055"/>
      <c r="V140" s="1253" t="str">
        <f t="shared" si="10"/>
        <v/>
      </c>
      <c r="W140" s="1048"/>
      <c r="X140" s="1048"/>
      <c r="Y140" s="1048"/>
      <c r="Z140" s="1048"/>
      <c r="AA140" s="1048"/>
      <c r="AB140" s="1048"/>
      <c r="AC140" s="1048"/>
      <c r="AD140" s="1048"/>
      <c r="AE140" s="1048"/>
      <c r="AF140" s="1048"/>
      <c r="AG140" s="1048"/>
      <c r="AH140" s="1048"/>
      <c r="AI140" s="1048"/>
      <c r="AJ140" s="1048"/>
      <c r="AK140" s="1048"/>
      <c r="AL140" s="1048"/>
      <c r="AM140" s="1048"/>
      <c r="AN140" s="1048"/>
      <c r="AO140" s="1048"/>
      <c r="AP140" s="1048"/>
      <c r="AQ140" s="1048"/>
    </row>
    <row r="141" spans="2:43" x14ac:dyDescent="0.25">
      <c r="B141" s="1064"/>
      <c r="C141" s="1065"/>
      <c r="D141" s="1064"/>
      <c r="E141" s="1067"/>
      <c r="F141" s="1067"/>
      <c r="G141" s="1052"/>
      <c r="H141" s="1055"/>
      <c r="I141" s="1055"/>
      <c r="J141" s="1114" t="str">
        <f t="shared" si="6"/>
        <v/>
      </c>
      <c r="K141" s="1055"/>
      <c r="L141" s="1055"/>
      <c r="M141" s="1115" t="str">
        <f t="shared" si="7"/>
        <v/>
      </c>
      <c r="N141" s="1055"/>
      <c r="O141" s="1055"/>
      <c r="P141" s="1115" t="str">
        <f t="shared" si="8"/>
        <v/>
      </c>
      <c r="Q141" s="1055"/>
      <c r="R141" s="1055"/>
      <c r="S141" s="1115" t="str">
        <f t="shared" si="9"/>
        <v/>
      </c>
      <c r="T141" s="1054"/>
      <c r="U141" s="1055"/>
      <c r="V141" s="1253" t="str">
        <f t="shared" si="10"/>
        <v/>
      </c>
      <c r="W141" s="1048"/>
      <c r="X141" s="1048"/>
      <c r="Y141" s="1048"/>
      <c r="Z141" s="1048"/>
      <c r="AA141" s="1048"/>
      <c r="AB141" s="1048"/>
      <c r="AC141" s="1048"/>
      <c r="AD141" s="1048"/>
      <c r="AE141" s="1048"/>
      <c r="AF141" s="1048"/>
      <c r="AG141" s="1048"/>
      <c r="AH141" s="1048"/>
      <c r="AI141" s="1048"/>
      <c r="AJ141" s="1048"/>
      <c r="AK141" s="1048"/>
      <c r="AL141" s="1048"/>
      <c r="AM141" s="1048"/>
      <c r="AN141" s="1048"/>
      <c r="AO141" s="1048"/>
      <c r="AP141" s="1048"/>
      <c r="AQ141" s="1048"/>
    </row>
    <row r="142" spans="2:43" x14ac:dyDescent="0.25">
      <c r="B142" s="1064"/>
      <c r="C142" s="1065"/>
      <c r="D142" s="1064"/>
      <c r="E142" s="1067"/>
      <c r="F142" s="1067"/>
      <c r="G142" s="1052"/>
      <c r="H142" s="1055"/>
      <c r="I142" s="1055"/>
      <c r="J142" s="1114" t="str">
        <f t="shared" si="6"/>
        <v/>
      </c>
      <c r="K142" s="1055"/>
      <c r="L142" s="1055"/>
      <c r="M142" s="1115" t="str">
        <f t="shared" si="7"/>
        <v/>
      </c>
      <c r="N142" s="1055"/>
      <c r="O142" s="1055"/>
      <c r="P142" s="1115" t="str">
        <f t="shared" si="8"/>
        <v/>
      </c>
      <c r="Q142" s="1055"/>
      <c r="R142" s="1055"/>
      <c r="S142" s="1115" t="str">
        <f t="shared" si="9"/>
        <v/>
      </c>
      <c r="T142" s="1054"/>
      <c r="U142" s="1055"/>
      <c r="V142" s="1253" t="str">
        <f t="shared" si="10"/>
        <v/>
      </c>
      <c r="W142" s="1048"/>
      <c r="X142" s="1048"/>
      <c r="Y142" s="1048"/>
      <c r="Z142" s="1048"/>
      <c r="AA142" s="1048"/>
      <c r="AB142" s="1048"/>
      <c r="AC142" s="1048"/>
      <c r="AD142" s="1048"/>
      <c r="AE142" s="1048"/>
      <c r="AF142" s="1048"/>
      <c r="AG142" s="1048"/>
      <c r="AH142" s="1048"/>
      <c r="AI142" s="1048"/>
      <c r="AJ142" s="1048"/>
      <c r="AK142" s="1048"/>
      <c r="AL142" s="1048"/>
      <c r="AM142" s="1048"/>
      <c r="AN142" s="1048"/>
      <c r="AO142" s="1048"/>
      <c r="AP142" s="1048"/>
      <c r="AQ142" s="1048"/>
    </row>
    <row r="143" spans="2:43" x14ac:dyDescent="0.25">
      <c r="B143" s="1064"/>
      <c r="C143" s="1065"/>
      <c r="D143" s="1064"/>
      <c r="E143" s="1067"/>
      <c r="F143" s="1067"/>
      <c r="G143" s="1052"/>
      <c r="H143" s="1055"/>
      <c r="I143" s="1055"/>
      <c r="J143" s="1114" t="str">
        <f t="shared" si="6"/>
        <v/>
      </c>
      <c r="K143" s="1055"/>
      <c r="L143" s="1055"/>
      <c r="M143" s="1115" t="str">
        <f t="shared" si="7"/>
        <v/>
      </c>
      <c r="N143" s="1055"/>
      <c r="O143" s="1055"/>
      <c r="P143" s="1115" t="str">
        <f t="shared" si="8"/>
        <v/>
      </c>
      <c r="Q143" s="1055"/>
      <c r="R143" s="1055"/>
      <c r="S143" s="1115" t="str">
        <f t="shared" si="9"/>
        <v/>
      </c>
      <c r="T143" s="1054"/>
      <c r="U143" s="1055"/>
      <c r="V143" s="1253" t="str">
        <f t="shared" si="10"/>
        <v/>
      </c>
      <c r="W143" s="1048"/>
      <c r="X143" s="1048"/>
      <c r="Y143" s="1048"/>
      <c r="Z143" s="1048"/>
      <c r="AA143" s="1048"/>
      <c r="AB143" s="1048"/>
      <c r="AC143" s="1048"/>
      <c r="AD143" s="1048"/>
      <c r="AE143" s="1048"/>
      <c r="AF143" s="1048"/>
      <c r="AG143" s="1048"/>
      <c r="AH143" s="1048"/>
      <c r="AI143" s="1048"/>
      <c r="AJ143" s="1048"/>
      <c r="AK143" s="1048"/>
      <c r="AL143" s="1048"/>
      <c r="AM143" s="1048"/>
      <c r="AN143" s="1048"/>
      <c r="AO143" s="1048"/>
      <c r="AP143" s="1048"/>
      <c r="AQ143" s="1048"/>
    </row>
    <row r="144" spans="2:43" x14ac:dyDescent="0.25">
      <c r="B144" s="1064"/>
      <c r="C144" s="1065"/>
      <c r="D144" s="1064"/>
      <c r="E144" s="1067"/>
      <c r="F144" s="1067"/>
      <c r="G144" s="1052"/>
      <c r="H144" s="1055"/>
      <c r="I144" s="1055"/>
      <c r="J144" s="1114" t="str">
        <f t="shared" si="6"/>
        <v/>
      </c>
      <c r="K144" s="1055"/>
      <c r="L144" s="1055"/>
      <c r="M144" s="1115" t="str">
        <f t="shared" si="7"/>
        <v/>
      </c>
      <c r="N144" s="1055"/>
      <c r="O144" s="1055"/>
      <c r="P144" s="1115" t="str">
        <f t="shared" si="8"/>
        <v/>
      </c>
      <c r="Q144" s="1055"/>
      <c r="R144" s="1055"/>
      <c r="S144" s="1115" t="str">
        <f t="shared" si="9"/>
        <v/>
      </c>
      <c r="T144" s="1054"/>
      <c r="U144" s="1055"/>
      <c r="V144" s="1253" t="str">
        <f t="shared" si="10"/>
        <v/>
      </c>
      <c r="W144" s="1048"/>
      <c r="X144" s="1048"/>
      <c r="Y144" s="1048"/>
      <c r="Z144" s="1048"/>
      <c r="AA144" s="1048"/>
      <c r="AB144" s="1048"/>
      <c r="AC144" s="1048"/>
      <c r="AD144" s="1048"/>
      <c r="AE144" s="1048"/>
      <c r="AF144" s="1048"/>
      <c r="AG144" s="1048"/>
      <c r="AH144" s="1048"/>
      <c r="AI144" s="1048"/>
      <c r="AJ144" s="1048"/>
      <c r="AK144" s="1048"/>
      <c r="AL144" s="1048"/>
      <c r="AM144" s="1048"/>
      <c r="AN144" s="1048"/>
      <c r="AO144" s="1048"/>
      <c r="AP144" s="1048"/>
      <c r="AQ144" s="1048"/>
    </row>
    <row r="145" spans="2:43" x14ac:dyDescent="0.25">
      <c r="B145" s="1064"/>
      <c r="C145" s="1065"/>
      <c r="D145" s="1064"/>
      <c r="E145" s="1067"/>
      <c r="F145" s="1067"/>
      <c r="G145" s="1052"/>
      <c r="H145" s="1055"/>
      <c r="I145" s="1055"/>
      <c r="J145" s="1114" t="str">
        <f t="shared" si="6"/>
        <v/>
      </c>
      <c r="K145" s="1055"/>
      <c r="L145" s="1055"/>
      <c r="M145" s="1115" t="str">
        <f t="shared" si="7"/>
        <v/>
      </c>
      <c r="N145" s="1055"/>
      <c r="O145" s="1055"/>
      <c r="P145" s="1115" t="str">
        <f t="shared" si="8"/>
        <v/>
      </c>
      <c r="Q145" s="1055"/>
      <c r="R145" s="1055"/>
      <c r="S145" s="1115" t="str">
        <f t="shared" si="9"/>
        <v/>
      </c>
      <c r="T145" s="1054"/>
      <c r="U145" s="1055"/>
      <c r="V145" s="1253" t="str">
        <f t="shared" si="10"/>
        <v/>
      </c>
      <c r="W145" s="1048"/>
      <c r="X145" s="1048"/>
      <c r="Y145" s="1048"/>
      <c r="Z145" s="1048"/>
      <c r="AA145" s="1048"/>
      <c r="AB145" s="1048"/>
      <c r="AC145" s="1048"/>
      <c r="AD145" s="1048"/>
      <c r="AE145" s="1048"/>
      <c r="AF145" s="1048"/>
      <c r="AG145" s="1048"/>
      <c r="AH145" s="1048"/>
      <c r="AI145" s="1048"/>
      <c r="AJ145" s="1048"/>
      <c r="AK145" s="1048"/>
      <c r="AL145" s="1048"/>
      <c r="AM145" s="1048"/>
      <c r="AN145" s="1048"/>
      <c r="AO145" s="1048"/>
      <c r="AP145" s="1048"/>
      <c r="AQ145" s="1048"/>
    </row>
    <row r="146" spans="2:43" x14ac:dyDescent="0.25">
      <c r="B146" s="1064"/>
      <c r="C146" s="1065"/>
      <c r="D146" s="1064"/>
      <c r="E146" s="1067"/>
      <c r="F146" s="1067"/>
      <c r="G146" s="1052"/>
      <c r="H146" s="1055"/>
      <c r="I146" s="1055"/>
      <c r="J146" s="1114" t="str">
        <f t="shared" si="6"/>
        <v/>
      </c>
      <c r="K146" s="1055"/>
      <c r="L146" s="1055"/>
      <c r="M146" s="1115" t="str">
        <f t="shared" si="7"/>
        <v/>
      </c>
      <c r="N146" s="1055"/>
      <c r="O146" s="1055"/>
      <c r="P146" s="1115" t="str">
        <f t="shared" si="8"/>
        <v/>
      </c>
      <c r="Q146" s="1055"/>
      <c r="R146" s="1055"/>
      <c r="S146" s="1115" t="str">
        <f t="shared" si="9"/>
        <v/>
      </c>
      <c r="T146" s="1054"/>
      <c r="U146" s="1055"/>
      <c r="V146" s="1253" t="str">
        <f t="shared" si="10"/>
        <v/>
      </c>
      <c r="W146" s="1048"/>
      <c r="X146" s="1048"/>
      <c r="Y146" s="1048"/>
      <c r="Z146" s="1048"/>
      <c r="AA146" s="1048"/>
      <c r="AB146" s="1048"/>
      <c r="AC146" s="1048"/>
      <c r="AD146" s="1048"/>
      <c r="AE146" s="1048"/>
      <c r="AF146" s="1048"/>
      <c r="AG146" s="1048"/>
      <c r="AH146" s="1048"/>
      <c r="AI146" s="1048"/>
      <c r="AJ146" s="1048"/>
      <c r="AK146" s="1048"/>
      <c r="AL146" s="1048"/>
      <c r="AM146" s="1048"/>
      <c r="AN146" s="1048"/>
      <c r="AO146" s="1048"/>
      <c r="AP146" s="1048"/>
      <c r="AQ146" s="1048"/>
    </row>
    <row r="147" spans="2:43" x14ac:dyDescent="0.25">
      <c r="B147" s="1064"/>
      <c r="C147" s="1065"/>
      <c r="D147" s="1064"/>
      <c r="E147" s="1067"/>
      <c r="F147" s="1067"/>
      <c r="G147" s="1052"/>
      <c r="H147" s="1055"/>
      <c r="I147" s="1055"/>
      <c r="J147" s="1114" t="str">
        <f t="shared" si="6"/>
        <v/>
      </c>
      <c r="K147" s="1055"/>
      <c r="L147" s="1055"/>
      <c r="M147" s="1115" t="str">
        <f t="shared" si="7"/>
        <v/>
      </c>
      <c r="N147" s="1055"/>
      <c r="O147" s="1055"/>
      <c r="P147" s="1115" t="str">
        <f t="shared" si="8"/>
        <v/>
      </c>
      <c r="Q147" s="1055"/>
      <c r="R147" s="1055"/>
      <c r="S147" s="1115" t="str">
        <f t="shared" si="9"/>
        <v/>
      </c>
      <c r="T147" s="1054"/>
      <c r="U147" s="1055"/>
      <c r="V147" s="1253" t="str">
        <f t="shared" si="10"/>
        <v/>
      </c>
      <c r="W147" s="1048"/>
      <c r="X147" s="1048"/>
      <c r="Y147" s="1048"/>
      <c r="Z147" s="1048"/>
      <c r="AA147" s="1048"/>
      <c r="AB147" s="1048"/>
      <c r="AC147" s="1048"/>
      <c r="AD147" s="1048"/>
      <c r="AE147" s="1048"/>
      <c r="AF147" s="1048"/>
      <c r="AG147" s="1048"/>
      <c r="AH147" s="1048"/>
      <c r="AI147" s="1048"/>
      <c r="AJ147" s="1048"/>
      <c r="AK147" s="1048"/>
      <c r="AL147" s="1048"/>
      <c r="AM147" s="1048"/>
      <c r="AN147" s="1048"/>
      <c r="AO147" s="1048"/>
      <c r="AP147" s="1048"/>
      <c r="AQ147" s="1048"/>
    </row>
    <row r="148" spans="2:43" x14ac:dyDescent="0.25">
      <c r="B148" s="1064"/>
      <c r="C148" s="1065"/>
      <c r="D148" s="1064"/>
      <c r="E148" s="1067"/>
      <c r="F148" s="1067"/>
      <c r="G148" s="1052"/>
      <c r="H148" s="1055"/>
      <c r="I148" s="1055"/>
      <c r="J148" s="1114" t="str">
        <f t="shared" si="6"/>
        <v/>
      </c>
      <c r="K148" s="1055"/>
      <c r="L148" s="1055"/>
      <c r="M148" s="1115" t="str">
        <f t="shared" si="7"/>
        <v/>
      </c>
      <c r="N148" s="1055"/>
      <c r="O148" s="1055"/>
      <c r="P148" s="1115" t="str">
        <f t="shared" si="8"/>
        <v/>
      </c>
      <c r="Q148" s="1055"/>
      <c r="R148" s="1055"/>
      <c r="S148" s="1115" t="str">
        <f t="shared" si="9"/>
        <v/>
      </c>
      <c r="T148" s="1054"/>
      <c r="U148" s="1055"/>
      <c r="V148" s="1253" t="str">
        <f t="shared" si="10"/>
        <v/>
      </c>
      <c r="W148" s="1048"/>
      <c r="X148" s="1048"/>
      <c r="Y148" s="1048"/>
      <c r="Z148" s="1048"/>
      <c r="AA148" s="1048"/>
      <c r="AB148" s="1048"/>
      <c r="AC148" s="1048"/>
      <c r="AD148" s="1048"/>
      <c r="AE148" s="1048"/>
      <c r="AF148" s="1048"/>
      <c r="AG148" s="1048"/>
      <c r="AH148" s="1048"/>
      <c r="AI148" s="1048"/>
      <c r="AJ148" s="1048"/>
      <c r="AK148" s="1048"/>
      <c r="AL148" s="1048"/>
      <c r="AM148" s="1048"/>
      <c r="AN148" s="1048"/>
      <c r="AO148" s="1048"/>
      <c r="AP148" s="1048"/>
      <c r="AQ148" s="1048"/>
    </row>
    <row r="149" spans="2:43" x14ac:dyDescent="0.25">
      <c r="B149" s="1064"/>
      <c r="C149" s="1065"/>
      <c r="D149" s="1064"/>
      <c r="E149" s="1067"/>
      <c r="F149" s="1067"/>
      <c r="G149" s="1052"/>
      <c r="H149" s="1055"/>
      <c r="I149" s="1055"/>
      <c r="J149" s="1114" t="str">
        <f t="shared" si="6"/>
        <v/>
      </c>
      <c r="K149" s="1055"/>
      <c r="L149" s="1055"/>
      <c r="M149" s="1115" t="str">
        <f t="shared" si="7"/>
        <v/>
      </c>
      <c r="N149" s="1055"/>
      <c r="O149" s="1055"/>
      <c r="P149" s="1115" t="str">
        <f t="shared" si="8"/>
        <v/>
      </c>
      <c r="Q149" s="1055"/>
      <c r="R149" s="1055"/>
      <c r="S149" s="1115" t="str">
        <f t="shared" si="9"/>
        <v/>
      </c>
      <c r="T149" s="1054"/>
      <c r="U149" s="1055"/>
      <c r="V149" s="1253" t="str">
        <f t="shared" si="10"/>
        <v/>
      </c>
      <c r="W149" s="1048"/>
      <c r="X149" s="1048"/>
      <c r="Y149" s="1048"/>
      <c r="Z149" s="1048"/>
      <c r="AA149" s="1048"/>
      <c r="AB149" s="1048"/>
      <c r="AC149" s="1048"/>
      <c r="AD149" s="1048"/>
      <c r="AE149" s="1048"/>
      <c r="AF149" s="1048"/>
      <c r="AG149" s="1048"/>
      <c r="AH149" s="1048"/>
      <c r="AI149" s="1048"/>
      <c r="AJ149" s="1048"/>
      <c r="AK149" s="1048"/>
      <c r="AL149" s="1048"/>
      <c r="AM149" s="1048"/>
      <c r="AN149" s="1048"/>
      <c r="AO149" s="1048"/>
      <c r="AP149" s="1048"/>
      <c r="AQ149" s="1048"/>
    </row>
    <row r="150" spans="2:43" x14ac:dyDescent="0.25">
      <c r="B150" s="1064"/>
      <c r="C150" s="1065"/>
      <c r="D150" s="1064"/>
      <c r="E150" s="1067"/>
      <c r="F150" s="1067"/>
      <c r="G150" s="1052"/>
      <c r="H150" s="1055"/>
      <c r="I150" s="1055"/>
      <c r="J150" s="1114" t="str">
        <f t="shared" si="6"/>
        <v/>
      </c>
      <c r="K150" s="1055"/>
      <c r="L150" s="1055"/>
      <c r="M150" s="1115" t="str">
        <f t="shared" si="7"/>
        <v/>
      </c>
      <c r="N150" s="1055"/>
      <c r="O150" s="1055"/>
      <c r="P150" s="1115" t="str">
        <f t="shared" si="8"/>
        <v/>
      </c>
      <c r="Q150" s="1055"/>
      <c r="R150" s="1055"/>
      <c r="S150" s="1115" t="str">
        <f t="shared" si="9"/>
        <v/>
      </c>
      <c r="T150" s="1054"/>
      <c r="U150" s="1055"/>
      <c r="V150" s="1253" t="str">
        <f t="shared" si="10"/>
        <v/>
      </c>
      <c r="W150" s="1048"/>
      <c r="X150" s="1048"/>
      <c r="Y150" s="1048"/>
      <c r="Z150" s="1048"/>
      <c r="AA150" s="1048"/>
      <c r="AB150" s="1048"/>
      <c r="AC150" s="1048"/>
      <c r="AD150" s="1048"/>
      <c r="AE150" s="1048"/>
      <c r="AF150" s="1048"/>
      <c r="AG150" s="1048"/>
      <c r="AH150" s="1048"/>
      <c r="AI150" s="1048"/>
      <c r="AJ150" s="1048"/>
      <c r="AK150" s="1048"/>
      <c r="AL150" s="1048"/>
      <c r="AM150" s="1048"/>
      <c r="AN150" s="1048"/>
      <c r="AO150" s="1048"/>
      <c r="AP150" s="1048"/>
      <c r="AQ150" s="1048"/>
    </row>
    <row r="151" spans="2:43" x14ac:dyDescent="0.25">
      <c r="B151" s="1064"/>
      <c r="C151" s="1065"/>
      <c r="D151" s="1064"/>
      <c r="E151" s="1067"/>
      <c r="F151" s="1067"/>
      <c r="G151" s="1052"/>
      <c r="H151" s="1055"/>
      <c r="I151" s="1055"/>
      <c r="J151" s="1114" t="str">
        <f t="shared" si="6"/>
        <v/>
      </c>
      <c r="K151" s="1055"/>
      <c r="L151" s="1055"/>
      <c r="M151" s="1115" t="str">
        <f t="shared" si="7"/>
        <v/>
      </c>
      <c r="N151" s="1055"/>
      <c r="O151" s="1055"/>
      <c r="P151" s="1115" t="str">
        <f t="shared" si="8"/>
        <v/>
      </c>
      <c r="Q151" s="1055"/>
      <c r="R151" s="1055"/>
      <c r="S151" s="1115" t="str">
        <f t="shared" si="9"/>
        <v/>
      </c>
      <c r="T151" s="1054"/>
      <c r="U151" s="1055"/>
      <c r="V151" s="1253" t="str">
        <f t="shared" si="10"/>
        <v/>
      </c>
      <c r="W151" s="1048"/>
      <c r="X151" s="1048"/>
      <c r="Y151" s="1048"/>
      <c r="Z151" s="1048"/>
      <c r="AA151" s="1048"/>
      <c r="AB151" s="1048"/>
      <c r="AC151" s="1048"/>
      <c r="AD151" s="1048"/>
      <c r="AE151" s="1048"/>
      <c r="AF151" s="1048"/>
      <c r="AG151" s="1048"/>
      <c r="AH151" s="1048"/>
      <c r="AI151" s="1048"/>
      <c r="AJ151" s="1048"/>
      <c r="AK151" s="1048"/>
      <c r="AL151" s="1048"/>
      <c r="AM151" s="1048"/>
      <c r="AN151" s="1048"/>
      <c r="AO151" s="1048"/>
      <c r="AP151" s="1048"/>
      <c r="AQ151" s="1048"/>
    </row>
    <row r="152" spans="2:43" x14ac:dyDescent="0.25">
      <c r="B152" s="1064"/>
      <c r="C152" s="1065"/>
      <c r="D152" s="1064"/>
      <c r="E152" s="1067"/>
      <c r="F152" s="1067"/>
      <c r="G152" s="1052"/>
      <c r="H152" s="1055"/>
      <c r="I152" s="1055"/>
      <c r="J152" s="1114" t="str">
        <f t="shared" si="6"/>
        <v/>
      </c>
      <c r="K152" s="1055"/>
      <c r="L152" s="1055"/>
      <c r="M152" s="1115" t="str">
        <f t="shared" si="7"/>
        <v/>
      </c>
      <c r="N152" s="1055"/>
      <c r="O152" s="1055"/>
      <c r="P152" s="1115" t="str">
        <f t="shared" si="8"/>
        <v/>
      </c>
      <c r="Q152" s="1055"/>
      <c r="R152" s="1055"/>
      <c r="S152" s="1115" t="str">
        <f t="shared" si="9"/>
        <v/>
      </c>
      <c r="T152" s="1054"/>
      <c r="U152" s="1055"/>
      <c r="V152" s="1253" t="str">
        <f t="shared" si="10"/>
        <v/>
      </c>
      <c r="W152" s="1048"/>
      <c r="X152" s="1048"/>
      <c r="Y152" s="1048"/>
      <c r="Z152" s="1048"/>
      <c r="AA152" s="1048"/>
      <c r="AB152" s="1048"/>
      <c r="AC152" s="1048"/>
      <c r="AD152" s="1048"/>
      <c r="AE152" s="1048"/>
      <c r="AF152" s="1048"/>
      <c r="AG152" s="1048"/>
      <c r="AH152" s="1048"/>
      <c r="AI152" s="1048"/>
      <c r="AJ152" s="1048"/>
      <c r="AK152" s="1048"/>
      <c r="AL152" s="1048"/>
      <c r="AM152" s="1048"/>
      <c r="AN152" s="1048"/>
      <c r="AO152" s="1048"/>
      <c r="AP152" s="1048"/>
      <c r="AQ152" s="1048"/>
    </row>
    <row r="153" spans="2:43" x14ac:dyDescent="0.25">
      <c r="B153" s="1064"/>
      <c r="C153" s="1065"/>
      <c r="D153" s="1064"/>
      <c r="E153" s="1067"/>
      <c r="F153" s="1067"/>
      <c r="G153" s="1052"/>
      <c r="H153" s="1055"/>
      <c r="I153" s="1055"/>
      <c r="J153" s="1114" t="str">
        <f t="shared" si="6"/>
        <v/>
      </c>
      <c r="K153" s="1055"/>
      <c r="L153" s="1055"/>
      <c r="M153" s="1115" t="str">
        <f t="shared" si="7"/>
        <v/>
      </c>
      <c r="N153" s="1055"/>
      <c r="O153" s="1055"/>
      <c r="P153" s="1115" t="str">
        <f t="shared" si="8"/>
        <v/>
      </c>
      <c r="Q153" s="1055"/>
      <c r="R153" s="1055"/>
      <c r="S153" s="1115" t="str">
        <f t="shared" si="9"/>
        <v/>
      </c>
      <c r="T153" s="1054"/>
      <c r="U153" s="1055"/>
      <c r="V153" s="1253" t="str">
        <f t="shared" si="10"/>
        <v/>
      </c>
      <c r="W153" s="1048"/>
      <c r="X153" s="1048"/>
      <c r="Y153" s="1048"/>
      <c r="Z153" s="1048"/>
      <c r="AA153" s="1048"/>
      <c r="AB153" s="1048"/>
      <c r="AC153" s="1048"/>
      <c r="AD153" s="1048"/>
      <c r="AE153" s="1048"/>
      <c r="AF153" s="1048"/>
      <c r="AG153" s="1048"/>
      <c r="AH153" s="1048"/>
      <c r="AI153" s="1048"/>
      <c r="AJ153" s="1048"/>
      <c r="AK153" s="1048"/>
      <c r="AL153" s="1048"/>
      <c r="AM153" s="1048"/>
      <c r="AN153" s="1048"/>
      <c r="AO153" s="1048"/>
      <c r="AP153" s="1048"/>
      <c r="AQ153" s="1048"/>
    </row>
    <row r="154" spans="2:43" x14ac:dyDescent="0.25">
      <c r="B154" s="1064"/>
      <c r="C154" s="1065"/>
      <c r="D154" s="1064"/>
      <c r="E154" s="1067"/>
      <c r="F154" s="1067"/>
      <c r="G154" s="1052"/>
      <c r="H154" s="1055"/>
      <c r="I154" s="1055"/>
      <c r="J154" s="1114" t="str">
        <f t="shared" ref="J154:J217" si="11">IF(AND(H154=0,I154=0),"",IF(I154&lt;&gt;0,IF(I154&gt;H154,100,I154/H154*100),0))</f>
        <v/>
      </c>
      <c r="K154" s="1055"/>
      <c r="L154" s="1055"/>
      <c r="M154" s="1115" t="str">
        <f t="shared" ref="M154:M217" si="12">IF(AND(K154=0,L154=0),"",IF(L154&lt;&gt;0,IF(L154&gt;K154,100,L154/K154*100),0))</f>
        <v/>
      </c>
      <c r="N154" s="1055"/>
      <c r="O154" s="1055"/>
      <c r="P154" s="1115" t="str">
        <f t="shared" ref="P154:P217" si="13">IF(AND(N154=0,O154=0),"",IF(O154&lt;&gt;0,IF(O154&gt;N154,100,O154/N154*100),0))</f>
        <v/>
      </c>
      <c r="Q154" s="1055"/>
      <c r="R154" s="1055"/>
      <c r="S154" s="1115" t="str">
        <f t="shared" ref="S154:S217" si="14">IF(AND(Q154=0,R154=0),"",IF(R154&lt;&gt;0,IF(R154&lt;=Q154,100,100-(R154-Q154)),0))</f>
        <v/>
      </c>
      <c r="T154" s="1054"/>
      <c r="U154" s="1055"/>
      <c r="V154" s="1253" t="str">
        <f t="shared" ref="V154:V217" si="15">IF(AND(T154=0,U154=0),"",IF(U154&lt;&gt;0,IF(U154&gt;T154,100,U154/T154*100),0))</f>
        <v/>
      </c>
      <c r="W154" s="1048"/>
      <c r="X154" s="1048"/>
      <c r="Y154" s="1048"/>
      <c r="Z154" s="1048"/>
      <c r="AA154" s="1048"/>
      <c r="AB154" s="1048"/>
      <c r="AC154" s="1048"/>
      <c r="AD154" s="1048"/>
      <c r="AE154" s="1048"/>
      <c r="AF154" s="1048"/>
      <c r="AG154" s="1048"/>
      <c r="AH154" s="1048"/>
      <c r="AI154" s="1048"/>
      <c r="AJ154" s="1048"/>
      <c r="AK154" s="1048"/>
      <c r="AL154" s="1048"/>
      <c r="AM154" s="1048"/>
      <c r="AN154" s="1048"/>
      <c r="AO154" s="1048"/>
      <c r="AP154" s="1048"/>
      <c r="AQ154" s="1048"/>
    </row>
    <row r="155" spans="2:43" x14ac:dyDescent="0.25">
      <c r="B155" s="1064"/>
      <c r="C155" s="1065"/>
      <c r="D155" s="1064"/>
      <c r="E155" s="1067"/>
      <c r="F155" s="1067"/>
      <c r="G155" s="1052"/>
      <c r="H155" s="1055"/>
      <c r="I155" s="1055"/>
      <c r="J155" s="1114" t="str">
        <f t="shared" si="11"/>
        <v/>
      </c>
      <c r="K155" s="1055"/>
      <c r="L155" s="1055"/>
      <c r="M155" s="1115" t="str">
        <f t="shared" si="12"/>
        <v/>
      </c>
      <c r="N155" s="1055"/>
      <c r="O155" s="1055"/>
      <c r="P155" s="1115" t="str">
        <f t="shared" si="13"/>
        <v/>
      </c>
      <c r="Q155" s="1055"/>
      <c r="R155" s="1055"/>
      <c r="S155" s="1115" t="str">
        <f t="shared" si="14"/>
        <v/>
      </c>
      <c r="T155" s="1054"/>
      <c r="U155" s="1055"/>
      <c r="V155" s="1253" t="str">
        <f t="shared" si="15"/>
        <v/>
      </c>
      <c r="W155" s="1048"/>
      <c r="X155" s="1048"/>
      <c r="Y155" s="1048"/>
      <c r="Z155" s="1048"/>
      <c r="AA155" s="1048"/>
      <c r="AB155" s="1048"/>
      <c r="AC155" s="1048"/>
      <c r="AD155" s="1048"/>
      <c r="AE155" s="1048"/>
      <c r="AF155" s="1048"/>
      <c r="AG155" s="1048"/>
      <c r="AH155" s="1048"/>
      <c r="AI155" s="1048"/>
      <c r="AJ155" s="1048"/>
      <c r="AK155" s="1048"/>
      <c r="AL155" s="1048"/>
      <c r="AM155" s="1048"/>
      <c r="AN155" s="1048"/>
      <c r="AO155" s="1048"/>
      <c r="AP155" s="1048"/>
      <c r="AQ155" s="1048"/>
    </row>
    <row r="156" spans="2:43" x14ac:dyDescent="0.25">
      <c r="B156" s="1064"/>
      <c r="C156" s="1065"/>
      <c r="D156" s="1064"/>
      <c r="E156" s="1067"/>
      <c r="F156" s="1067"/>
      <c r="G156" s="1052"/>
      <c r="H156" s="1055"/>
      <c r="I156" s="1055"/>
      <c r="J156" s="1114" t="str">
        <f t="shared" si="11"/>
        <v/>
      </c>
      <c r="K156" s="1055"/>
      <c r="L156" s="1055"/>
      <c r="M156" s="1115" t="str">
        <f t="shared" si="12"/>
        <v/>
      </c>
      <c r="N156" s="1055"/>
      <c r="O156" s="1055"/>
      <c r="P156" s="1115" t="str">
        <f t="shared" si="13"/>
        <v/>
      </c>
      <c r="Q156" s="1055"/>
      <c r="R156" s="1055"/>
      <c r="S156" s="1115" t="str">
        <f t="shared" si="14"/>
        <v/>
      </c>
      <c r="T156" s="1054"/>
      <c r="U156" s="1055"/>
      <c r="V156" s="1253" t="str">
        <f t="shared" si="15"/>
        <v/>
      </c>
      <c r="W156" s="1048"/>
      <c r="X156" s="1048"/>
      <c r="Y156" s="1048"/>
      <c r="Z156" s="1048"/>
      <c r="AA156" s="1048"/>
      <c r="AB156" s="1048"/>
      <c r="AC156" s="1048"/>
      <c r="AD156" s="1048"/>
      <c r="AE156" s="1048"/>
      <c r="AF156" s="1048"/>
      <c r="AG156" s="1048"/>
      <c r="AH156" s="1048"/>
      <c r="AI156" s="1048"/>
      <c r="AJ156" s="1048"/>
      <c r="AK156" s="1048"/>
      <c r="AL156" s="1048"/>
      <c r="AM156" s="1048"/>
      <c r="AN156" s="1048"/>
      <c r="AO156" s="1048"/>
      <c r="AP156" s="1048"/>
      <c r="AQ156" s="1048"/>
    </row>
    <row r="157" spans="2:43" x14ac:dyDescent="0.25">
      <c r="B157" s="1064"/>
      <c r="C157" s="1065"/>
      <c r="D157" s="1064"/>
      <c r="E157" s="1067"/>
      <c r="F157" s="1067"/>
      <c r="G157" s="1052"/>
      <c r="H157" s="1055"/>
      <c r="I157" s="1055"/>
      <c r="J157" s="1114" t="str">
        <f t="shared" si="11"/>
        <v/>
      </c>
      <c r="K157" s="1055"/>
      <c r="L157" s="1055"/>
      <c r="M157" s="1115" t="str">
        <f t="shared" si="12"/>
        <v/>
      </c>
      <c r="N157" s="1055"/>
      <c r="O157" s="1055"/>
      <c r="P157" s="1115" t="str">
        <f t="shared" si="13"/>
        <v/>
      </c>
      <c r="Q157" s="1055"/>
      <c r="R157" s="1055"/>
      <c r="S157" s="1115" t="str">
        <f t="shared" si="14"/>
        <v/>
      </c>
      <c r="T157" s="1054"/>
      <c r="U157" s="1055"/>
      <c r="V157" s="1253" t="str">
        <f t="shared" si="15"/>
        <v/>
      </c>
      <c r="W157" s="1048"/>
      <c r="X157" s="1048"/>
      <c r="Y157" s="1048"/>
      <c r="Z157" s="1048"/>
      <c r="AA157" s="1048"/>
      <c r="AB157" s="1048"/>
      <c r="AC157" s="1048"/>
      <c r="AD157" s="1048"/>
      <c r="AE157" s="1048"/>
      <c r="AF157" s="1048"/>
      <c r="AG157" s="1048"/>
      <c r="AH157" s="1048"/>
      <c r="AI157" s="1048"/>
      <c r="AJ157" s="1048"/>
      <c r="AK157" s="1048"/>
      <c r="AL157" s="1048"/>
      <c r="AM157" s="1048"/>
      <c r="AN157" s="1048"/>
      <c r="AO157" s="1048"/>
      <c r="AP157" s="1048"/>
      <c r="AQ157" s="1048"/>
    </row>
    <row r="158" spans="2:43" x14ac:dyDescent="0.25">
      <c r="B158" s="1064"/>
      <c r="C158" s="1065"/>
      <c r="D158" s="1064"/>
      <c r="E158" s="1067"/>
      <c r="F158" s="1067"/>
      <c r="G158" s="1052"/>
      <c r="H158" s="1055"/>
      <c r="I158" s="1055"/>
      <c r="J158" s="1114" t="str">
        <f t="shared" si="11"/>
        <v/>
      </c>
      <c r="K158" s="1055"/>
      <c r="L158" s="1055"/>
      <c r="M158" s="1115" t="str">
        <f t="shared" si="12"/>
        <v/>
      </c>
      <c r="N158" s="1055"/>
      <c r="O158" s="1055"/>
      <c r="P158" s="1115" t="str">
        <f t="shared" si="13"/>
        <v/>
      </c>
      <c r="Q158" s="1055"/>
      <c r="R158" s="1055"/>
      <c r="S158" s="1115" t="str">
        <f t="shared" si="14"/>
        <v/>
      </c>
      <c r="T158" s="1054"/>
      <c r="U158" s="1055"/>
      <c r="V158" s="1253" t="str">
        <f t="shared" si="15"/>
        <v/>
      </c>
      <c r="W158" s="1048"/>
      <c r="X158" s="1048"/>
      <c r="Y158" s="1048"/>
      <c r="Z158" s="1048"/>
      <c r="AA158" s="1048"/>
      <c r="AB158" s="1048"/>
      <c r="AC158" s="1048"/>
      <c r="AD158" s="1048"/>
      <c r="AE158" s="1048"/>
      <c r="AF158" s="1048"/>
      <c r="AG158" s="1048"/>
      <c r="AH158" s="1048"/>
      <c r="AI158" s="1048"/>
      <c r="AJ158" s="1048"/>
      <c r="AK158" s="1048"/>
      <c r="AL158" s="1048"/>
      <c r="AM158" s="1048"/>
      <c r="AN158" s="1048"/>
      <c r="AO158" s="1048"/>
      <c r="AP158" s="1048"/>
      <c r="AQ158" s="1048"/>
    </row>
    <row r="159" spans="2:43" x14ac:dyDescent="0.25">
      <c r="B159" s="1064"/>
      <c r="C159" s="1065"/>
      <c r="D159" s="1064"/>
      <c r="E159" s="1067"/>
      <c r="F159" s="1067"/>
      <c r="G159" s="1052"/>
      <c r="H159" s="1055"/>
      <c r="I159" s="1055"/>
      <c r="J159" s="1114" t="str">
        <f t="shared" si="11"/>
        <v/>
      </c>
      <c r="K159" s="1055"/>
      <c r="L159" s="1055"/>
      <c r="M159" s="1115" t="str">
        <f t="shared" si="12"/>
        <v/>
      </c>
      <c r="N159" s="1055"/>
      <c r="O159" s="1055"/>
      <c r="P159" s="1115" t="str">
        <f t="shared" si="13"/>
        <v/>
      </c>
      <c r="Q159" s="1055"/>
      <c r="R159" s="1055"/>
      <c r="S159" s="1115" t="str">
        <f t="shared" si="14"/>
        <v/>
      </c>
      <c r="T159" s="1054"/>
      <c r="U159" s="1055"/>
      <c r="V159" s="1253" t="str">
        <f t="shared" si="15"/>
        <v/>
      </c>
      <c r="W159" s="1048"/>
      <c r="X159" s="1048"/>
      <c r="Y159" s="1048"/>
      <c r="Z159" s="1048"/>
      <c r="AA159" s="1048"/>
      <c r="AB159" s="1048"/>
      <c r="AC159" s="1048"/>
      <c r="AD159" s="1048"/>
      <c r="AE159" s="1048"/>
      <c r="AF159" s="1048"/>
      <c r="AG159" s="1048"/>
      <c r="AH159" s="1048"/>
      <c r="AI159" s="1048"/>
      <c r="AJ159" s="1048"/>
      <c r="AK159" s="1048"/>
      <c r="AL159" s="1048"/>
      <c r="AM159" s="1048"/>
      <c r="AN159" s="1048"/>
      <c r="AO159" s="1048"/>
      <c r="AP159" s="1048"/>
      <c r="AQ159" s="1048"/>
    </row>
    <row r="160" spans="2:43" x14ac:dyDescent="0.25">
      <c r="B160" s="1064"/>
      <c r="C160" s="1065"/>
      <c r="D160" s="1064"/>
      <c r="E160" s="1067"/>
      <c r="F160" s="1067"/>
      <c r="G160" s="1052"/>
      <c r="H160" s="1055"/>
      <c r="I160" s="1055"/>
      <c r="J160" s="1114" t="str">
        <f t="shared" si="11"/>
        <v/>
      </c>
      <c r="K160" s="1055"/>
      <c r="L160" s="1055"/>
      <c r="M160" s="1115" t="str">
        <f t="shared" si="12"/>
        <v/>
      </c>
      <c r="N160" s="1055"/>
      <c r="O160" s="1055"/>
      <c r="P160" s="1115" t="str">
        <f t="shared" si="13"/>
        <v/>
      </c>
      <c r="Q160" s="1055"/>
      <c r="R160" s="1055"/>
      <c r="S160" s="1115" t="str">
        <f t="shared" si="14"/>
        <v/>
      </c>
      <c r="T160" s="1054"/>
      <c r="U160" s="1055"/>
      <c r="V160" s="1253" t="str">
        <f t="shared" si="15"/>
        <v/>
      </c>
      <c r="W160" s="1048"/>
      <c r="X160" s="1048"/>
      <c r="Y160" s="1048"/>
      <c r="Z160" s="1048"/>
      <c r="AA160" s="1048"/>
      <c r="AB160" s="1048"/>
      <c r="AC160" s="1048"/>
      <c r="AD160" s="1048"/>
      <c r="AE160" s="1048"/>
      <c r="AF160" s="1048"/>
      <c r="AG160" s="1048"/>
      <c r="AH160" s="1048"/>
      <c r="AI160" s="1048"/>
      <c r="AJ160" s="1048"/>
      <c r="AK160" s="1048"/>
      <c r="AL160" s="1048"/>
      <c r="AM160" s="1048"/>
      <c r="AN160" s="1048"/>
      <c r="AO160" s="1048"/>
      <c r="AP160" s="1048"/>
      <c r="AQ160" s="1048"/>
    </row>
    <row r="161" spans="2:43" x14ac:dyDescent="0.25">
      <c r="B161" s="1064"/>
      <c r="C161" s="1065"/>
      <c r="D161" s="1064"/>
      <c r="E161" s="1067"/>
      <c r="F161" s="1067"/>
      <c r="G161" s="1052"/>
      <c r="H161" s="1055"/>
      <c r="I161" s="1055"/>
      <c r="J161" s="1114" t="str">
        <f t="shared" si="11"/>
        <v/>
      </c>
      <c r="K161" s="1055"/>
      <c r="L161" s="1055"/>
      <c r="M161" s="1115" t="str">
        <f t="shared" si="12"/>
        <v/>
      </c>
      <c r="N161" s="1055"/>
      <c r="O161" s="1055"/>
      <c r="P161" s="1115" t="str">
        <f t="shared" si="13"/>
        <v/>
      </c>
      <c r="Q161" s="1055"/>
      <c r="R161" s="1055"/>
      <c r="S161" s="1115" t="str">
        <f t="shared" si="14"/>
        <v/>
      </c>
      <c r="T161" s="1054"/>
      <c r="U161" s="1055"/>
      <c r="V161" s="1253" t="str">
        <f t="shared" si="15"/>
        <v/>
      </c>
      <c r="W161" s="1048"/>
      <c r="X161" s="1048"/>
      <c r="Y161" s="1048"/>
      <c r="Z161" s="1048"/>
      <c r="AA161" s="1048"/>
      <c r="AB161" s="1048"/>
      <c r="AC161" s="1048"/>
      <c r="AD161" s="1048"/>
      <c r="AE161" s="1048"/>
      <c r="AF161" s="1048"/>
      <c r="AG161" s="1048"/>
      <c r="AH161" s="1048"/>
      <c r="AI161" s="1048"/>
      <c r="AJ161" s="1048"/>
      <c r="AK161" s="1048"/>
      <c r="AL161" s="1048"/>
      <c r="AM161" s="1048"/>
      <c r="AN161" s="1048"/>
      <c r="AO161" s="1048"/>
      <c r="AP161" s="1048"/>
      <c r="AQ161" s="1048"/>
    </row>
    <row r="162" spans="2:43" x14ac:dyDescent="0.25">
      <c r="B162" s="1064"/>
      <c r="C162" s="1065"/>
      <c r="D162" s="1064"/>
      <c r="E162" s="1067"/>
      <c r="F162" s="1067"/>
      <c r="G162" s="1052"/>
      <c r="H162" s="1055"/>
      <c r="I162" s="1055"/>
      <c r="J162" s="1114" t="str">
        <f t="shared" si="11"/>
        <v/>
      </c>
      <c r="K162" s="1055"/>
      <c r="L162" s="1055"/>
      <c r="M162" s="1115" t="str">
        <f t="shared" si="12"/>
        <v/>
      </c>
      <c r="N162" s="1055"/>
      <c r="O162" s="1055"/>
      <c r="P162" s="1115" t="str">
        <f t="shared" si="13"/>
        <v/>
      </c>
      <c r="Q162" s="1055"/>
      <c r="R162" s="1055"/>
      <c r="S162" s="1115" t="str">
        <f t="shared" si="14"/>
        <v/>
      </c>
      <c r="T162" s="1054"/>
      <c r="U162" s="1055"/>
      <c r="V162" s="1253" t="str">
        <f t="shared" si="15"/>
        <v/>
      </c>
      <c r="W162" s="1048"/>
      <c r="X162" s="1048"/>
      <c r="Y162" s="1048"/>
      <c r="Z162" s="1048"/>
      <c r="AA162" s="1048"/>
      <c r="AB162" s="1048"/>
      <c r="AC162" s="1048"/>
      <c r="AD162" s="1048"/>
      <c r="AE162" s="1048"/>
      <c r="AF162" s="1048"/>
      <c r="AG162" s="1048"/>
      <c r="AH162" s="1048"/>
      <c r="AI162" s="1048"/>
      <c r="AJ162" s="1048"/>
      <c r="AK162" s="1048"/>
      <c r="AL162" s="1048"/>
      <c r="AM162" s="1048"/>
      <c r="AN162" s="1048"/>
      <c r="AO162" s="1048"/>
      <c r="AP162" s="1048"/>
      <c r="AQ162" s="1048"/>
    </row>
    <row r="163" spans="2:43" x14ac:dyDescent="0.25">
      <c r="B163" s="1064"/>
      <c r="C163" s="1065"/>
      <c r="D163" s="1064"/>
      <c r="E163" s="1067"/>
      <c r="F163" s="1067"/>
      <c r="G163" s="1052"/>
      <c r="H163" s="1055"/>
      <c r="I163" s="1055"/>
      <c r="J163" s="1114" t="str">
        <f t="shared" si="11"/>
        <v/>
      </c>
      <c r="K163" s="1055"/>
      <c r="L163" s="1055"/>
      <c r="M163" s="1115" t="str">
        <f t="shared" si="12"/>
        <v/>
      </c>
      <c r="N163" s="1055"/>
      <c r="O163" s="1055"/>
      <c r="P163" s="1115" t="str">
        <f t="shared" si="13"/>
        <v/>
      </c>
      <c r="Q163" s="1055"/>
      <c r="R163" s="1055"/>
      <c r="S163" s="1115" t="str">
        <f t="shared" si="14"/>
        <v/>
      </c>
      <c r="T163" s="1054"/>
      <c r="U163" s="1055"/>
      <c r="V163" s="1253" t="str">
        <f t="shared" si="15"/>
        <v/>
      </c>
      <c r="W163" s="1048"/>
      <c r="X163" s="1048"/>
      <c r="Y163" s="1048"/>
      <c r="Z163" s="1048"/>
      <c r="AA163" s="1048"/>
      <c r="AB163" s="1048"/>
      <c r="AC163" s="1048"/>
      <c r="AD163" s="1048"/>
      <c r="AE163" s="1048"/>
      <c r="AF163" s="1048"/>
      <c r="AG163" s="1048"/>
      <c r="AH163" s="1048"/>
      <c r="AI163" s="1048"/>
      <c r="AJ163" s="1048"/>
      <c r="AK163" s="1048"/>
      <c r="AL163" s="1048"/>
      <c r="AM163" s="1048"/>
      <c r="AN163" s="1048"/>
      <c r="AO163" s="1048"/>
      <c r="AP163" s="1048"/>
      <c r="AQ163" s="1048"/>
    </row>
    <row r="164" spans="2:43" x14ac:dyDescent="0.25">
      <c r="B164" s="1064"/>
      <c r="C164" s="1065"/>
      <c r="D164" s="1064"/>
      <c r="E164" s="1067"/>
      <c r="F164" s="1067"/>
      <c r="G164" s="1052"/>
      <c r="H164" s="1055"/>
      <c r="I164" s="1055"/>
      <c r="J164" s="1114" t="str">
        <f t="shared" si="11"/>
        <v/>
      </c>
      <c r="K164" s="1055"/>
      <c r="L164" s="1055"/>
      <c r="M164" s="1115" t="str">
        <f t="shared" si="12"/>
        <v/>
      </c>
      <c r="N164" s="1055"/>
      <c r="O164" s="1055"/>
      <c r="P164" s="1115" t="str">
        <f t="shared" si="13"/>
        <v/>
      </c>
      <c r="Q164" s="1055"/>
      <c r="R164" s="1055"/>
      <c r="S164" s="1115" t="str">
        <f t="shared" si="14"/>
        <v/>
      </c>
      <c r="T164" s="1054"/>
      <c r="U164" s="1055"/>
      <c r="V164" s="1253" t="str">
        <f t="shared" si="15"/>
        <v/>
      </c>
      <c r="W164" s="1048"/>
      <c r="X164" s="1048"/>
      <c r="Y164" s="1048"/>
      <c r="Z164" s="1048"/>
      <c r="AA164" s="1048"/>
      <c r="AB164" s="1048"/>
      <c r="AC164" s="1048"/>
      <c r="AD164" s="1048"/>
      <c r="AE164" s="1048"/>
      <c r="AF164" s="1048"/>
      <c r="AG164" s="1048"/>
      <c r="AH164" s="1048"/>
      <c r="AI164" s="1048"/>
      <c r="AJ164" s="1048"/>
      <c r="AK164" s="1048"/>
      <c r="AL164" s="1048"/>
      <c r="AM164" s="1048"/>
      <c r="AN164" s="1048"/>
      <c r="AO164" s="1048"/>
      <c r="AP164" s="1048"/>
      <c r="AQ164" s="1048"/>
    </row>
    <row r="165" spans="2:43" x14ac:dyDescent="0.25">
      <c r="B165" s="1064"/>
      <c r="C165" s="1065"/>
      <c r="D165" s="1064"/>
      <c r="E165" s="1067"/>
      <c r="F165" s="1067"/>
      <c r="G165" s="1052"/>
      <c r="H165" s="1055"/>
      <c r="I165" s="1055"/>
      <c r="J165" s="1114" t="str">
        <f t="shared" si="11"/>
        <v/>
      </c>
      <c r="K165" s="1055"/>
      <c r="L165" s="1055"/>
      <c r="M165" s="1115" t="str">
        <f t="shared" si="12"/>
        <v/>
      </c>
      <c r="N165" s="1055"/>
      <c r="O165" s="1055"/>
      <c r="P165" s="1115" t="str">
        <f t="shared" si="13"/>
        <v/>
      </c>
      <c r="Q165" s="1055"/>
      <c r="R165" s="1055"/>
      <c r="S165" s="1115" t="str">
        <f t="shared" si="14"/>
        <v/>
      </c>
      <c r="T165" s="1054"/>
      <c r="U165" s="1055"/>
      <c r="V165" s="1253" t="str">
        <f t="shared" si="15"/>
        <v/>
      </c>
      <c r="W165" s="1048"/>
      <c r="X165" s="1048"/>
      <c r="Y165" s="1048"/>
      <c r="Z165" s="1048"/>
      <c r="AA165" s="1048"/>
      <c r="AB165" s="1048"/>
      <c r="AC165" s="1048"/>
      <c r="AD165" s="1048"/>
      <c r="AE165" s="1048"/>
      <c r="AF165" s="1048"/>
      <c r="AG165" s="1048"/>
      <c r="AH165" s="1048"/>
      <c r="AI165" s="1048"/>
      <c r="AJ165" s="1048"/>
      <c r="AK165" s="1048"/>
      <c r="AL165" s="1048"/>
      <c r="AM165" s="1048"/>
      <c r="AN165" s="1048"/>
      <c r="AO165" s="1048"/>
      <c r="AP165" s="1048"/>
      <c r="AQ165" s="1048"/>
    </row>
    <row r="166" spans="2:43" x14ac:dyDescent="0.25">
      <c r="B166" s="1064"/>
      <c r="C166" s="1065"/>
      <c r="D166" s="1064"/>
      <c r="E166" s="1067"/>
      <c r="F166" s="1067"/>
      <c r="G166" s="1052"/>
      <c r="H166" s="1055"/>
      <c r="I166" s="1055"/>
      <c r="J166" s="1114" t="str">
        <f t="shared" si="11"/>
        <v/>
      </c>
      <c r="K166" s="1055"/>
      <c r="L166" s="1055"/>
      <c r="M166" s="1115" t="str">
        <f t="shared" si="12"/>
        <v/>
      </c>
      <c r="N166" s="1055"/>
      <c r="O166" s="1055"/>
      <c r="P166" s="1115" t="str">
        <f t="shared" si="13"/>
        <v/>
      </c>
      <c r="Q166" s="1055"/>
      <c r="R166" s="1055"/>
      <c r="S166" s="1115" t="str">
        <f t="shared" si="14"/>
        <v/>
      </c>
      <c r="T166" s="1054"/>
      <c r="U166" s="1055"/>
      <c r="V166" s="1253" t="str">
        <f t="shared" si="15"/>
        <v/>
      </c>
      <c r="W166" s="1048"/>
      <c r="X166" s="1048"/>
      <c r="Y166" s="1048"/>
      <c r="Z166" s="1048"/>
      <c r="AA166" s="1048"/>
      <c r="AB166" s="1048"/>
      <c r="AC166" s="1048"/>
      <c r="AD166" s="1048"/>
      <c r="AE166" s="1048"/>
      <c r="AF166" s="1048"/>
      <c r="AG166" s="1048"/>
      <c r="AH166" s="1048"/>
      <c r="AI166" s="1048"/>
      <c r="AJ166" s="1048"/>
      <c r="AK166" s="1048"/>
      <c r="AL166" s="1048"/>
      <c r="AM166" s="1048"/>
      <c r="AN166" s="1048"/>
      <c r="AO166" s="1048"/>
      <c r="AP166" s="1048"/>
      <c r="AQ166" s="1048"/>
    </row>
    <row r="167" spans="2:43" x14ac:dyDescent="0.25">
      <c r="B167" s="1064"/>
      <c r="C167" s="1065"/>
      <c r="D167" s="1064"/>
      <c r="E167" s="1067"/>
      <c r="F167" s="1067"/>
      <c r="G167" s="1052"/>
      <c r="H167" s="1055"/>
      <c r="I167" s="1055"/>
      <c r="J167" s="1114" t="str">
        <f t="shared" si="11"/>
        <v/>
      </c>
      <c r="K167" s="1055"/>
      <c r="L167" s="1055"/>
      <c r="M167" s="1115" t="str">
        <f t="shared" si="12"/>
        <v/>
      </c>
      <c r="N167" s="1055"/>
      <c r="O167" s="1055"/>
      <c r="P167" s="1115" t="str">
        <f t="shared" si="13"/>
        <v/>
      </c>
      <c r="Q167" s="1055"/>
      <c r="R167" s="1055"/>
      <c r="S167" s="1115" t="str">
        <f t="shared" si="14"/>
        <v/>
      </c>
      <c r="T167" s="1054"/>
      <c r="U167" s="1055"/>
      <c r="V167" s="1253" t="str">
        <f t="shared" si="15"/>
        <v/>
      </c>
      <c r="W167" s="1048"/>
      <c r="X167" s="1048"/>
      <c r="Y167" s="1048"/>
      <c r="Z167" s="1048"/>
      <c r="AA167" s="1048"/>
      <c r="AB167" s="1048"/>
      <c r="AC167" s="1048"/>
      <c r="AD167" s="1048"/>
      <c r="AE167" s="1048"/>
      <c r="AF167" s="1048"/>
      <c r="AG167" s="1048"/>
      <c r="AH167" s="1048"/>
      <c r="AI167" s="1048"/>
      <c r="AJ167" s="1048"/>
      <c r="AK167" s="1048"/>
      <c r="AL167" s="1048"/>
      <c r="AM167" s="1048"/>
      <c r="AN167" s="1048"/>
      <c r="AO167" s="1048"/>
      <c r="AP167" s="1048"/>
      <c r="AQ167" s="1048"/>
    </row>
    <row r="168" spans="2:43" x14ac:dyDescent="0.25">
      <c r="B168" s="1064"/>
      <c r="C168" s="1065"/>
      <c r="D168" s="1064"/>
      <c r="E168" s="1067"/>
      <c r="F168" s="1067"/>
      <c r="G168" s="1052"/>
      <c r="H168" s="1055"/>
      <c r="I168" s="1055"/>
      <c r="J168" s="1114" t="str">
        <f t="shared" si="11"/>
        <v/>
      </c>
      <c r="K168" s="1055"/>
      <c r="L168" s="1055"/>
      <c r="M168" s="1115" t="str">
        <f t="shared" si="12"/>
        <v/>
      </c>
      <c r="N168" s="1055"/>
      <c r="O168" s="1055"/>
      <c r="P168" s="1115" t="str">
        <f t="shared" si="13"/>
        <v/>
      </c>
      <c r="Q168" s="1055"/>
      <c r="R168" s="1055"/>
      <c r="S168" s="1115" t="str">
        <f t="shared" si="14"/>
        <v/>
      </c>
      <c r="T168" s="1054"/>
      <c r="U168" s="1055"/>
      <c r="V168" s="1253" t="str">
        <f t="shared" si="15"/>
        <v/>
      </c>
      <c r="W168" s="1048"/>
      <c r="X168" s="1048"/>
      <c r="Y168" s="1048"/>
      <c r="Z168" s="1048"/>
      <c r="AA168" s="1048"/>
      <c r="AB168" s="1048"/>
      <c r="AC168" s="1048"/>
      <c r="AD168" s="1048"/>
      <c r="AE168" s="1048"/>
      <c r="AF168" s="1048"/>
      <c r="AG168" s="1048"/>
      <c r="AH168" s="1048"/>
      <c r="AI168" s="1048"/>
      <c r="AJ168" s="1048"/>
      <c r="AK168" s="1048"/>
      <c r="AL168" s="1048"/>
      <c r="AM168" s="1048"/>
      <c r="AN168" s="1048"/>
      <c r="AO168" s="1048"/>
      <c r="AP168" s="1048"/>
      <c r="AQ168" s="1048"/>
    </row>
    <row r="169" spans="2:43" x14ac:dyDescent="0.25">
      <c r="B169" s="1064"/>
      <c r="C169" s="1065"/>
      <c r="D169" s="1064"/>
      <c r="E169" s="1067"/>
      <c r="F169" s="1067"/>
      <c r="G169" s="1052"/>
      <c r="H169" s="1055"/>
      <c r="I169" s="1055"/>
      <c r="J169" s="1114" t="str">
        <f t="shared" si="11"/>
        <v/>
      </c>
      <c r="K169" s="1055"/>
      <c r="L169" s="1055"/>
      <c r="M169" s="1115" t="str">
        <f t="shared" si="12"/>
        <v/>
      </c>
      <c r="N169" s="1055"/>
      <c r="O169" s="1055"/>
      <c r="P169" s="1115" t="str">
        <f t="shared" si="13"/>
        <v/>
      </c>
      <c r="Q169" s="1055"/>
      <c r="R169" s="1055"/>
      <c r="S169" s="1115" t="str">
        <f t="shared" si="14"/>
        <v/>
      </c>
      <c r="T169" s="1054"/>
      <c r="U169" s="1055"/>
      <c r="V169" s="1253" t="str">
        <f t="shared" si="15"/>
        <v/>
      </c>
      <c r="W169" s="1048"/>
      <c r="X169" s="1048"/>
      <c r="Y169" s="1048"/>
      <c r="Z169" s="1048"/>
      <c r="AA169" s="1048"/>
      <c r="AB169" s="1048"/>
      <c r="AC169" s="1048"/>
      <c r="AD169" s="1048"/>
      <c r="AE169" s="1048"/>
      <c r="AF169" s="1048"/>
      <c r="AG169" s="1048"/>
      <c r="AH169" s="1048"/>
      <c r="AI169" s="1048"/>
      <c r="AJ169" s="1048"/>
      <c r="AK169" s="1048"/>
      <c r="AL169" s="1048"/>
      <c r="AM169" s="1048"/>
      <c r="AN169" s="1048"/>
      <c r="AO169" s="1048"/>
      <c r="AP169" s="1048"/>
      <c r="AQ169" s="1048"/>
    </row>
    <row r="170" spans="2:43" x14ac:dyDescent="0.25">
      <c r="B170" s="1064"/>
      <c r="C170" s="1065"/>
      <c r="D170" s="1064"/>
      <c r="E170" s="1067"/>
      <c r="F170" s="1067"/>
      <c r="G170" s="1052"/>
      <c r="H170" s="1055"/>
      <c r="I170" s="1055"/>
      <c r="J170" s="1114" t="str">
        <f t="shared" si="11"/>
        <v/>
      </c>
      <c r="K170" s="1055"/>
      <c r="L170" s="1055"/>
      <c r="M170" s="1115" t="str">
        <f t="shared" si="12"/>
        <v/>
      </c>
      <c r="N170" s="1055"/>
      <c r="O170" s="1055"/>
      <c r="P170" s="1115" t="str">
        <f t="shared" si="13"/>
        <v/>
      </c>
      <c r="Q170" s="1055"/>
      <c r="R170" s="1055"/>
      <c r="S170" s="1115" t="str">
        <f t="shared" si="14"/>
        <v/>
      </c>
      <c r="T170" s="1054"/>
      <c r="U170" s="1055"/>
      <c r="V170" s="1253" t="str">
        <f t="shared" si="15"/>
        <v/>
      </c>
      <c r="W170" s="1048"/>
      <c r="X170" s="1048"/>
      <c r="Y170" s="1048"/>
      <c r="Z170" s="1048"/>
      <c r="AA170" s="1048"/>
      <c r="AB170" s="1048"/>
      <c r="AC170" s="1048"/>
      <c r="AD170" s="1048"/>
      <c r="AE170" s="1048"/>
      <c r="AF170" s="1048"/>
      <c r="AG170" s="1048"/>
      <c r="AH170" s="1048"/>
      <c r="AI170" s="1048"/>
      <c r="AJ170" s="1048"/>
      <c r="AK170" s="1048"/>
      <c r="AL170" s="1048"/>
      <c r="AM170" s="1048"/>
      <c r="AN170" s="1048"/>
      <c r="AO170" s="1048"/>
      <c r="AP170" s="1048"/>
      <c r="AQ170" s="1048"/>
    </row>
    <row r="171" spans="2:43" x14ac:dyDescent="0.25">
      <c r="B171" s="1064"/>
      <c r="C171" s="1065"/>
      <c r="D171" s="1064"/>
      <c r="E171" s="1067"/>
      <c r="F171" s="1067"/>
      <c r="G171" s="1052"/>
      <c r="H171" s="1055"/>
      <c r="I171" s="1055"/>
      <c r="J171" s="1114" t="str">
        <f t="shared" si="11"/>
        <v/>
      </c>
      <c r="K171" s="1055"/>
      <c r="L171" s="1055"/>
      <c r="M171" s="1115" t="str">
        <f t="shared" si="12"/>
        <v/>
      </c>
      <c r="N171" s="1055"/>
      <c r="O171" s="1055"/>
      <c r="P171" s="1115" t="str">
        <f t="shared" si="13"/>
        <v/>
      </c>
      <c r="Q171" s="1055"/>
      <c r="R171" s="1055"/>
      <c r="S171" s="1115" t="str">
        <f t="shared" si="14"/>
        <v/>
      </c>
      <c r="T171" s="1054"/>
      <c r="U171" s="1055"/>
      <c r="V171" s="1253" t="str">
        <f t="shared" si="15"/>
        <v/>
      </c>
      <c r="W171" s="1048"/>
      <c r="X171" s="1048"/>
      <c r="Y171" s="1048"/>
      <c r="Z171" s="1048"/>
      <c r="AA171" s="1048"/>
      <c r="AB171" s="1048"/>
      <c r="AC171" s="1048"/>
      <c r="AD171" s="1048"/>
      <c r="AE171" s="1048"/>
      <c r="AF171" s="1048"/>
      <c r="AG171" s="1048"/>
      <c r="AH171" s="1048"/>
      <c r="AI171" s="1048"/>
      <c r="AJ171" s="1048"/>
      <c r="AK171" s="1048"/>
      <c r="AL171" s="1048"/>
      <c r="AM171" s="1048"/>
      <c r="AN171" s="1048"/>
      <c r="AO171" s="1048"/>
      <c r="AP171" s="1048"/>
      <c r="AQ171" s="1048"/>
    </row>
    <row r="172" spans="2:43" x14ac:dyDescent="0.25">
      <c r="B172" s="1064"/>
      <c r="C172" s="1065"/>
      <c r="D172" s="1064"/>
      <c r="E172" s="1067"/>
      <c r="F172" s="1067"/>
      <c r="G172" s="1052"/>
      <c r="H172" s="1055"/>
      <c r="I172" s="1055"/>
      <c r="J172" s="1114" t="str">
        <f t="shared" si="11"/>
        <v/>
      </c>
      <c r="K172" s="1055"/>
      <c r="L172" s="1055"/>
      <c r="M172" s="1115" t="str">
        <f t="shared" si="12"/>
        <v/>
      </c>
      <c r="N172" s="1055"/>
      <c r="O172" s="1055"/>
      <c r="P172" s="1115" t="str">
        <f t="shared" si="13"/>
        <v/>
      </c>
      <c r="Q172" s="1055"/>
      <c r="R172" s="1055"/>
      <c r="S172" s="1115" t="str">
        <f t="shared" si="14"/>
        <v/>
      </c>
      <c r="T172" s="1054"/>
      <c r="U172" s="1055"/>
      <c r="V172" s="1253" t="str">
        <f t="shared" si="15"/>
        <v/>
      </c>
      <c r="W172" s="1048"/>
      <c r="X172" s="1048"/>
      <c r="Y172" s="1048"/>
      <c r="Z172" s="1048"/>
      <c r="AA172" s="1048"/>
      <c r="AB172" s="1048"/>
      <c r="AC172" s="1048"/>
      <c r="AD172" s="1048"/>
      <c r="AE172" s="1048"/>
      <c r="AF172" s="1048"/>
      <c r="AG172" s="1048"/>
      <c r="AH172" s="1048"/>
      <c r="AI172" s="1048"/>
      <c r="AJ172" s="1048"/>
      <c r="AK172" s="1048"/>
      <c r="AL172" s="1048"/>
      <c r="AM172" s="1048"/>
      <c r="AN172" s="1048"/>
      <c r="AO172" s="1048"/>
      <c r="AP172" s="1048"/>
      <c r="AQ172" s="1048"/>
    </row>
    <row r="173" spans="2:43" x14ac:dyDescent="0.25">
      <c r="B173" s="1064"/>
      <c r="C173" s="1065"/>
      <c r="D173" s="1064"/>
      <c r="E173" s="1067"/>
      <c r="F173" s="1067"/>
      <c r="G173" s="1052"/>
      <c r="H173" s="1055"/>
      <c r="I173" s="1055"/>
      <c r="J173" s="1114" t="str">
        <f t="shared" si="11"/>
        <v/>
      </c>
      <c r="K173" s="1055"/>
      <c r="L173" s="1055"/>
      <c r="M173" s="1115" t="str">
        <f t="shared" si="12"/>
        <v/>
      </c>
      <c r="N173" s="1055"/>
      <c r="O173" s="1055"/>
      <c r="P173" s="1115" t="str">
        <f t="shared" si="13"/>
        <v/>
      </c>
      <c r="Q173" s="1055"/>
      <c r="R173" s="1055"/>
      <c r="S173" s="1115" t="str">
        <f t="shared" si="14"/>
        <v/>
      </c>
      <c r="T173" s="1054"/>
      <c r="U173" s="1055"/>
      <c r="V173" s="1253" t="str">
        <f t="shared" si="15"/>
        <v/>
      </c>
      <c r="W173" s="1048"/>
      <c r="X173" s="1048"/>
      <c r="Y173" s="1048"/>
      <c r="Z173" s="1048"/>
      <c r="AA173" s="1048"/>
      <c r="AB173" s="1048"/>
      <c r="AC173" s="1048"/>
      <c r="AD173" s="1048"/>
      <c r="AE173" s="1048"/>
      <c r="AF173" s="1048"/>
      <c r="AG173" s="1048"/>
      <c r="AH173" s="1048"/>
      <c r="AI173" s="1048"/>
      <c r="AJ173" s="1048"/>
      <c r="AK173" s="1048"/>
      <c r="AL173" s="1048"/>
      <c r="AM173" s="1048"/>
      <c r="AN173" s="1048"/>
      <c r="AO173" s="1048"/>
      <c r="AP173" s="1048"/>
      <c r="AQ173" s="1048"/>
    </row>
    <row r="174" spans="2:43" x14ac:dyDescent="0.25">
      <c r="B174" s="1064"/>
      <c r="C174" s="1065"/>
      <c r="D174" s="1064"/>
      <c r="E174" s="1067"/>
      <c r="F174" s="1067"/>
      <c r="G174" s="1052"/>
      <c r="H174" s="1055"/>
      <c r="I174" s="1055"/>
      <c r="J174" s="1114" t="str">
        <f t="shared" si="11"/>
        <v/>
      </c>
      <c r="K174" s="1055"/>
      <c r="L174" s="1055"/>
      <c r="M174" s="1115" t="str">
        <f t="shared" si="12"/>
        <v/>
      </c>
      <c r="N174" s="1055"/>
      <c r="O174" s="1055"/>
      <c r="P174" s="1115" t="str">
        <f t="shared" si="13"/>
        <v/>
      </c>
      <c r="Q174" s="1055"/>
      <c r="R174" s="1055"/>
      <c r="S174" s="1115" t="str">
        <f t="shared" si="14"/>
        <v/>
      </c>
      <c r="T174" s="1054"/>
      <c r="U174" s="1055"/>
      <c r="V174" s="1253" t="str">
        <f t="shared" si="15"/>
        <v/>
      </c>
      <c r="W174" s="1048"/>
      <c r="X174" s="1048"/>
      <c r="Y174" s="1048"/>
      <c r="Z174" s="1048"/>
      <c r="AA174" s="1048"/>
      <c r="AB174" s="1048"/>
      <c r="AC174" s="1048"/>
      <c r="AD174" s="1048"/>
      <c r="AE174" s="1048"/>
      <c r="AF174" s="1048"/>
      <c r="AG174" s="1048"/>
      <c r="AH174" s="1048"/>
      <c r="AI174" s="1048"/>
      <c r="AJ174" s="1048"/>
      <c r="AK174" s="1048"/>
      <c r="AL174" s="1048"/>
      <c r="AM174" s="1048"/>
      <c r="AN174" s="1048"/>
      <c r="AO174" s="1048"/>
      <c r="AP174" s="1048"/>
      <c r="AQ174" s="1048"/>
    </row>
    <row r="175" spans="2:43" x14ac:dyDescent="0.25">
      <c r="B175" s="1064"/>
      <c r="C175" s="1065"/>
      <c r="D175" s="1064"/>
      <c r="E175" s="1067"/>
      <c r="F175" s="1067"/>
      <c r="G175" s="1052"/>
      <c r="H175" s="1055"/>
      <c r="I175" s="1055"/>
      <c r="J175" s="1114" t="str">
        <f t="shared" si="11"/>
        <v/>
      </c>
      <c r="K175" s="1055"/>
      <c r="L175" s="1055"/>
      <c r="M175" s="1115" t="str">
        <f t="shared" si="12"/>
        <v/>
      </c>
      <c r="N175" s="1055"/>
      <c r="O175" s="1055"/>
      <c r="P175" s="1115" t="str">
        <f t="shared" si="13"/>
        <v/>
      </c>
      <c r="Q175" s="1055"/>
      <c r="R175" s="1055"/>
      <c r="S175" s="1115" t="str">
        <f t="shared" si="14"/>
        <v/>
      </c>
      <c r="T175" s="1054"/>
      <c r="U175" s="1055"/>
      <c r="V175" s="1253" t="str">
        <f t="shared" si="15"/>
        <v/>
      </c>
      <c r="W175" s="1048"/>
      <c r="X175" s="1048"/>
      <c r="Y175" s="1048"/>
      <c r="Z175" s="1048"/>
      <c r="AA175" s="1048"/>
      <c r="AB175" s="1048"/>
      <c r="AC175" s="1048"/>
      <c r="AD175" s="1048"/>
      <c r="AE175" s="1048"/>
      <c r="AF175" s="1048"/>
      <c r="AG175" s="1048"/>
      <c r="AH175" s="1048"/>
      <c r="AI175" s="1048"/>
      <c r="AJ175" s="1048"/>
      <c r="AK175" s="1048"/>
      <c r="AL175" s="1048"/>
      <c r="AM175" s="1048"/>
      <c r="AN175" s="1048"/>
      <c r="AO175" s="1048"/>
      <c r="AP175" s="1048"/>
      <c r="AQ175" s="1048"/>
    </row>
    <row r="176" spans="2:43" x14ac:dyDescent="0.25">
      <c r="B176" s="1064"/>
      <c r="C176" s="1065"/>
      <c r="D176" s="1064"/>
      <c r="E176" s="1067"/>
      <c r="F176" s="1067"/>
      <c r="G176" s="1052"/>
      <c r="H176" s="1055"/>
      <c r="I176" s="1055"/>
      <c r="J176" s="1114" t="str">
        <f t="shared" si="11"/>
        <v/>
      </c>
      <c r="K176" s="1055"/>
      <c r="L176" s="1055"/>
      <c r="M176" s="1115" t="str">
        <f t="shared" si="12"/>
        <v/>
      </c>
      <c r="N176" s="1055"/>
      <c r="O176" s="1055"/>
      <c r="P176" s="1115" t="str">
        <f t="shared" si="13"/>
        <v/>
      </c>
      <c r="Q176" s="1055"/>
      <c r="R176" s="1055"/>
      <c r="S176" s="1115" t="str">
        <f t="shared" si="14"/>
        <v/>
      </c>
      <c r="T176" s="1054"/>
      <c r="U176" s="1055"/>
      <c r="V176" s="1253" t="str">
        <f t="shared" si="15"/>
        <v/>
      </c>
      <c r="W176" s="1048"/>
      <c r="X176" s="1048"/>
      <c r="Y176" s="1048"/>
      <c r="Z176" s="1048"/>
      <c r="AA176" s="1048"/>
      <c r="AB176" s="1048"/>
      <c r="AC176" s="1048"/>
      <c r="AD176" s="1048"/>
      <c r="AE176" s="1048"/>
      <c r="AF176" s="1048"/>
      <c r="AG176" s="1048"/>
      <c r="AH176" s="1048"/>
      <c r="AI176" s="1048"/>
      <c r="AJ176" s="1048"/>
      <c r="AK176" s="1048"/>
      <c r="AL176" s="1048"/>
      <c r="AM176" s="1048"/>
      <c r="AN176" s="1048"/>
      <c r="AO176" s="1048"/>
      <c r="AP176" s="1048"/>
      <c r="AQ176" s="1048"/>
    </row>
    <row r="177" spans="2:43" x14ac:dyDescent="0.25">
      <c r="B177" s="1064"/>
      <c r="C177" s="1065"/>
      <c r="D177" s="1064"/>
      <c r="E177" s="1067"/>
      <c r="F177" s="1067"/>
      <c r="G177" s="1052"/>
      <c r="H177" s="1055"/>
      <c r="I177" s="1055"/>
      <c r="J177" s="1114" t="str">
        <f t="shared" si="11"/>
        <v/>
      </c>
      <c r="K177" s="1055"/>
      <c r="L177" s="1055"/>
      <c r="M177" s="1115" t="str">
        <f t="shared" si="12"/>
        <v/>
      </c>
      <c r="N177" s="1055"/>
      <c r="O177" s="1055"/>
      <c r="P177" s="1115" t="str">
        <f t="shared" si="13"/>
        <v/>
      </c>
      <c r="Q177" s="1055"/>
      <c r="R177" s="1055"/>
      <c r="S177" s="1115" t="str">
        <f t="shared" si="14"/>
        <v/>
      </c>
      <c r="T177" s="1054"/>
      <c r="U177" s="1055"/>
      <c r="V177" s="1253" t="str">
        <f t="shared" si="15"/>
        <v/>
      </c>
      <c r="W177" s="1048"/>
      <c r="X177" s="1048"/>
      <c r="Y177" s="1048"/>
      <c r="Z177" s="1048"/>
      <c r="AA177" s="1048"/>
      <c r="AB177" s="1048"/>
      <c r="AC177" s="1048"/>
      <c r="AD177" s="1048"/>
      <c r="AE177" s="1048"/>
      <c r="AF177" s="1048"/>
      <c r="AG177" s="1048"/>
      <c r="AH177" s="1048"/>
      <c r="AI177" s="1048"/>
      <c r="AJ177" s="1048"/>
      <c r="AK177" s="1048"/>
      <c r="AL177" s="1048"/>
      <c r="AM177" s="1048"/>
      <c r="AN177" s="1048"/>
      <c r="AO177" s="1048"/>
      <c r="AP177" s="1048"/>
      <c r="AQ177" s="1048"/>
    </row>
    <row r="178" spans="2:43" x14ac:dyDescent="0.25">
      <c r="B178" s="1064"/>
      <c r="C178" s="1065"/>
      <c r="D178" s="1064"/>
      <c r="E178" s="1067"/>
      <c r="F178" s="1067"/>
      <c r="G178" s="1052"/>
      <c r="H178" s="1055"/>
      <c r="I178" s="1055"/>
      <c r="J178" s="1114" t="str">
        <f t="shared" si="11"/>
        <v/>
      </c>
      <c r="K178" s="1055"/>
      <c r="L178" s="1055"/>
      <c r="M178" s="1115" t="str">
        <f t="shared" si="12"/>
        <v/>
      </c>
      <c r="N178" s="1055"/>
      <c r="O178" s="1055"/>
      <c r="P178" s="1115" t="str">
        <f t="shared" si="13"/>
        <v/>
      </c>
      <c r="Q178" s="1055"/>
      <c r="R178" s="1055"/>
      <c r="S178" s="1115" t="str">
        <f t="shared" si="14"/>
        <v/>
      </c>
      <c r="T178" s="1054"/>
      <c r="U178" s="1055"/>
      <c r="V178" s="1253" t="str">
        <f t="shared" si="15"/>
        <v/>
      </c>
      <c r="W178" s="1048"/>
      <c r="X178" s="1048"/>
      <c r="Y178" s="1048"/>
      <c r="Z178" s="1048"/>
      <c r="AA178" s="1048"/>
      <c r="AB178" s="1048"/>
      <c r="AC178" s="1048"/>
      <c r="AD178" s="1048"/>
      <c r="AE178" s="1048"/>
      <c r="AF178" s="1048"/>
      <c r="AG178" s="1048"/>
      <c r="AH178" s="1048"/>
      <c r="AI178" s="1048"/>
      <c r="AJ178" s="1048"/>
      <c r="AK178" s="1048"/>
      <c r="AL178" s="1048"/>
      <c r="AM178" s="1048"/>
      <c r="AN178" s="1048"/>
      <c r="AO178" s="1048"/>
      <c r="AP178" s="1048"/>
      <c r="AQ178" s="1048"/>
    </row>
    <row r="179" spans="2:43" x14ac:dyDescent="0.25">
      <c r="B179" s="1064"/>
      <c r="C179" s="1065"/>
      <c r="D179" s="1064"/>
      <c r="E179" s="1067"/>
      <c r="F179" s="1067"/>
      <c r="G179" s="1052"/>
      <c r="H179" s="1055"/>
      <c r="I179" s="1055"/>
      <c r="J179" s="1114" t="str">
        <f t="shared" si="11"/>
        <v/>
      </c>
      <c r="K179" s="1055"/>
      <c r="L179" s="1055"/>
      <c r="M179" s="1115" t="str">
        <f t="shared" si="12"/>
        <v/>
      </c>
      <c r="N179" s="1055"/>
      <c r="O179" s="1055"/>
      <c r="P179" s="1115" t="str">
        <f t="shared" si="13"/>
        <v/>
      </c>
      <c r="Q179" s="1055"/>
      <c r="R179" s="1055"/>
      <c r="S179" s="1115" t="str">
        <f t="shared" si="14"/>
        <v/>
      </c>
      <c r="T179" s="1054"/>
      <c r="U179" s="1055"/>
      <c r="V179" s="1253" t="str">
        <f t="shared" si="15"/>
        <v/>
      </c>
      <c r="W179" s="1048"/>
      <c r="X179" s="1048"/>
      <c r="Y179" s="1048"/>
      <c r="Z179" s="1048"/>
      <c r="AA179" s="1048"/>
      <c r="AB179" s="1048"/>
      <c r="AC179" s="1048"/>
      <c r="AD179" s="1048"/>
      <c r="AE179" s="1048"/>
      <c r="AF179" s="1048"/>
      <c r="AG179" s="1048"/>
      <c r="AH179" s="1048"/>
      <c r="AI179" s="1048"/>
      <c r="AJ179" s="1048"/>
      <c r="AK179" s="1048"/>
      <c r="AL179" s="1048"/>
      <c r="AM179" s="1048"/>
      <c r="AN179" s="1048"/>
      <c r="AO179" s="1048"/>
      <c r="AP179" s="1048"/>
      <c r="AQ179" s="1048"/>
    </row>
    <row r="180" spans="2:43" x14ac:dyDescent="0.25">
      <c r="B180" s="1064"/>
      <c r="C180" s="1065"/>
      <c r="D180" s="1064"/>
      <c r="E180" s="1067"/>
      <c r="F180" s="1067"/>
      <c r="G180" s="1052"/>
      <c r="H180" s="1055"/>
      <c r="I180" s="1055"/>
      <c r="J180" s="1114" t="str">
        <f t="shared" si="11"/>
        <v/>
      </c>
      <c r="K180" s="1055"/>
      <c r="L180" s="1055"/>
      <c r="M180" s="1115" t="str">
        <f t="shared" si="12"/>
        <v/>
      </c>
      <c r="N180" s="1055"/>
      <c r="O180" s="1055"/>
      <c r="P180" s="1115" t="str">
        <f t="shared" si="13"/>
        <v/>
      </c>
      <c r="Q180" s="1055"/>
      <c r="R180" s="1055"/>
      <c r="S180" s="1115" t="str">
        <f t="shared" si="14"/>
        <v/>
      </c>
      <c r="T180" s="1054"/>
      <c r="U180" s="1055"/>
      <c r="V180" s="1253" t="str">
        <f t="shared" si="15"/>
        <v/>
      </c>
      <c r="W180" s="1048"/>
      <c r="X180" s="1048"/>
      <c r="Y180" s="1048"/>
      <c r="Z180" s="1048"/>
      <c r="AA180" s="1048"/>
      <c r="AB180" s="1048"/>
      <c r="AC180" s="1048"/>
      <c r="AD180" s="1048"/>
      <c r="AE180" s="1048"/>
      <c r="AF180" s="1048"/>
      <c r="AG180" s="1048"/>
      <c r="AH180" s="1048"/>
      <c r="AI180" s="1048"/>
      <c r="AJ180" s="1048"/>
      <c r="AK180" s="1048"/>
      <c r="AL180" s="1048"/>
      <c r="AM180" s="1048"/>
      <c r="AN180" s="1048"/>
      <c r="AO180" s="1048"/>
      <c r="AP180" s="1048"/>
      <c r="AQ180" s="1048"/>
    </row>
    <row r="181" spans="2:43" x14ac:dyDescent="0.25">
      <c r="B181" s="1064"/>
      <c r="C181" s="1065"/>
      <c r="D181" s="1064"/>
      <c r="E181" s="1067"/>
      <c r="F181" s="1067"/>
      <c r="G181" s="1052"/>
      <c r="H181" s="1055"/>
      <c r="I181" s="1055"/>
      <c r="J181" s="1114" t="str">
        <f t="shared" si="11"/>
        <v/>
      </c>
      <c r="K181" s="1055"/>
      <c r="L181" s="1055"/>
      <c r="M181" s="1115" t="str">
        <f t="shared" si="12"/>
        <v/>
      </c>
      <c r="N181" s="1055"/>
      <c r="O181" s="1055"/>
      <c r="P181" s="1115" t="str">
        <f t="shared" si="13"/>
        <v/>
      </c>
      <c r="Q181" s="1055"/>
      <c r="R181" s="1055"/>
      <c r="S181" s="1115" t="str">
        <f t="shared" si="14"/>
        <v/>
      </c>
      <c r="T181" s="1054"/>
      <c r="U181" s="1055"/>
      <c r="V181" s="1253" t="str">
        <f t="shared" si="15"/>
        <v/>
      </c>
      <c r="W181" s="1048"/>
      <c r="X181" s="1048"/>
      <c r="Y181" s="1048"/>
      <c r="Z181" s="1048"/>
      <c r="AA181" s="1048"/>
      <c r="AB181" s="1048"/>
      <c r="AC181" s="1048"/>
      <c r="AD181" s="1048"/>
      <c r="AE181" s="1048"/>
      <c r="AF181" s="1048"/>
      <c r="AG181" s="1048"/>
      <c r="AH181" s="1048"/>
      <c r="AI181" s="1048"/>
      <c r="AJ181" s="1048"/>
      <c r="AK181" s="1048"/>
      <c r="AL181" s="1048"/>
      <c r="AM181" s="1048"/>
      <c r="AN181" s="1048"/>
      <c r="AO181" s="1048"/>
      <c r="AP181" s="1048"/>
      <c r="AQ181" s="1048"/>
    </row>
    <row r="182" spans="2:43" x14ac:dyDescent="0.25">
      <c r="B182" s="1064"/>
      <c r="C182" s="1065"/>
      <c r="D182" s="1064"/>
      <c r="E182" s="1067"/>
      <c r="F182" s="1067"/>
      <c r="G182" s="1052"/>
      <c r="H182" s="1055"/>
      <c r="I182" s="1055"/>
      <c r="J182" s="1114" t="str">
        <f t="shared" si="11"/>
        <v/>
      </c>
      <c r="K182" s="1055"/>
      <c r="L182" s="1055"/>
      <c r="M182" s="1115" t="str">
        <f t="shared" si="12"/>
        <v/>
      </c>
      <c r="N182" s="1055"/>
      <c r="O182" s="1055"/>
      <c r="P182" s="1115" t="str">
        <f t="shared" si="13"/>
        <v/>
      </c>
      <c r="Q182" s="1055"/>
      <c r="R182" s="1055"/>
      <c r="S182" s="1115" t="str">
        <f t="shared" si="14"/>
        <v/>
      </c>
      <c r="T182" s="1054"/>
      <c r="U182" s="1055"/>
      <c r="V182" s="1253" t="str">
        <f t="shared" si="15"/>
        <v/>
      </c>
      <c r="W182" s="1048"/>
      <c r="X182" s="1048"/>
      <c r="Y182" s="1048"/>
      <c r="Z182" s="1048"/>
      <c r="AA182" s="1048"/>
      <c r="AB182" s="1048"/>
      <c r="AC182" s="1048"/>
      <c r="AD182" s="1048"/>
      <c r="AE182" s="1048"/>
      <c r="AF182" s="1048"/>
      <c r="AG182" s="1048"/>
      <c r="AH182" s="1048"/>
      <c r="AI182" s="1048"/>
      <c r="AJ182" s="1048"/>
      <c r="AK182" s="1048"/>
      <c r="AL182" s="1048"/>
      <c r="AM182" s="1048"/>
      <c r="AN182" s="1048"/>
      <c r="AO182" s="1048"/>
      <c r="AP182" s="1048"/>
      <c r="AQ182" s="1048"/>
    </row>
    <row r="183" spans="2:43" x14ac:dyDescent="0.25">
      <c r="B183" s="1064"/>
      <c r="C183" s="1065"/>
      <c r="D183" s="1064"/>
      <c r="E183" s="1067"/>
      <c r="F183" s="1067"/>
      <c r="G183" s="1052"/>
      <c r="H183" s="1055"/>
      <c r="I183" s="1055"/>
      <c r="J183" s="1114" t="str">
        <f t="shared" si="11"/>
        <v/>
      </c>
      <c r="K183" s="1055"/>
      <c r="L183" s="1055"/>
      <c r="M183" s="1115" t="str">
        <f t="shared" si="12"/>
        <v/>
      </c>
      <c r="N183" s="1055"/>
      <c r="O183" s="1055"/>
      <c r="P183" s="1115" t="str">
        <f t="shared" si="13"/>
        <v/>
      </c>
      <c r="Q183" s="1055"/>
      <c r="R183" s="1055"/>
      <c r="S183" s="1115" t="str">
        <f t="shared" si="14"/>
        <v/>
      </c>
      <c r="T183" s="1054"/>
      <c r="U183" s="1055"/>
      <c r="V183" s="1253" t="str">
        <f t="shared" si="15"/>
        <v/>
      </c>
      <c r="W183" s="1048"/>
      <c r="X183" s="1048"/>
      <c r="Y183" s="1048"/>
      <c r="Z183" s="1048"/>
      <c r="AA183" s="1048"/>
      <c r="AB183" s="1048"/>
      <c r="AC183" s="1048"/>
      <c r="AD183" s="1048"/>
      <c r="AE183" s="1048"/>
      <c r="AF183" s="1048"/>
      <c r="AG183" s="1048"/>
      <c r="AH183" s="1048"/>
      <c r="AI183" s="1048"/>
      <c r="AJ183" s="1048"/>
      <c r="AK183" s="1048"/>
      <c r="AL183" s="1048"/>
      <c r="AM183" s="1048"/>
      <c r="AN183" s="1048"/>
      <c r="AO183" s="1048"/>
      <c r="AP183" s="1048"/>
      <c r="AQ183" s="1048"/>
    </row>
    <row r="184" spans="2:43" x14ac:dyDescent="0.25">
      <c r="B184" s="1064"/>
      <c r="C184" s="1065"/>
      <c r="D184" s="1064"/>
      <c r="E184" s="1067"/>
      <c r="F184" s="1067"/>
      <c r="G184" s="1052"/>
      <c r="H184" s="1055"/>
      <c r="I184" s="1055"/>
      <c r="J184" s="1114" t="str">
        <f t="shared" si="11"/>
        <v/>
      </c>
      <c r="K184" s="1055"/>
      <c r="L184" s="1055"/>
      <c r="M184" s="1115" t="str">
        <f t="shared" si="12"/>
        <v/>
      </c>
      <c r="N184" s="1055"/>
      <c r="O184" s="1055"/>
      <c r="P184" s="1115" t="str">
        <f t="shared" si="13"/>
        <v/>
      </c>
      <c r="Q184" s="1055"/>
      <c r="R184" s="1055"/>
      <c r="S184" s="1115" t="str">
        <f t="shared" si="14"/>
        <v/>
      </c>
      <c r="T184" s="1054"/>
      <c r="U184" s="1055"/>
      <c r="V184" s="1253" t="str">
        <f t="shared" si="15"/>
        <v/>
      </c>
      <c r="W184" s="1048"/>
      <c r="X184" s="1048"/>
      <c r="Y184" s="1048"/>
      <c r="Z184" s="1048"/>
      <c r="AA184" s="1048"/>
      <c r="AB184" s="1048"/>
      <c r="AC184" s="1048"/>
      <c r="AD184" s="1048"/>
      <c r="AE184" s="1048"/>
      <c r="AF184" s="1048"/>
      <c r="AG184" s="1048"/>
      <c r="AH184" s="1048"/>
      <c r="AI184" s="1048"/>
      <c r="AJ184" s="1048"/>
      <c r="AK184" s="1048"/>
      <c r="AL184" s="1048"/>
      <c r="AM184" s="1048"/>
      <c r="AN184" s="1048"/>
      <c r="AO184" s="1048"/>
      <c r="AP184" s="1048"/>
      <c r="AQ184" s="1048"/>
    </row>
    <row r="185" spans="2:43" x14ac:dyDescent="0.25">
      <c r="B185" s="1064"/>
      <c r="C185" s="1065"/>
      <c r="D185" s="1064"/>
      <c r="E185" s="1067"/>
      <c r="F185" s="1067"/>
      <c r="G185" s="1052"/>
      <c r="H185" s="1055"/>
      <c r="I185" s="1055"/>
      <c r="J185" s="1114" t="str">
        <f t="shared" si="11"/>
        <v/>
      </c>
      <c r="K185" s="1055"/>
      <c r="L185" s="1055"/>
      <c r="M185" s="1115" t="str">
        <f t="shared" si="12"/>
        <v/>
      </c>
      <c r="N185" s="1055"/>
      <c r="O185" s="1055"/>
      <c r="P185" s="1115" t="str">
        <f t="shared" si="13"/>
        <v/>
      </c>
      <c r="Q185" s="1055"/>
      <c r="R185" s="1055"/>
      <c r="S185" s="1115" t="str">
        <f t="shared" si="14"/>
        <v/>
      </c>
      <c r="T185" s="1054"/>
      <c r="U185" s="1055"/>
      <c r="V185" s="1253" t="str">
        <f t="shared" si="15"/>
        <v/>
      </c>
      <c r="W185" s="1048"/>
      <c r="X185" s="1048"/>
      <c r="Y185" s="1048"/>
      <c r="Z185" s="1048"/>
      <c r="AA185" s="1048"/>
      <c r="AB185" s="1048"/>
      <c r="AC185" s="1048"/>
      <c r="AD185" s="1048"/>
      <c r="AE185" s="1048"/>
      <c r="AF185" s="1048"/>
      <c r="AG185" s="1048"/>
      <c r="AH185" s="1048"/>
      <c r="AI185" s="1048"/>
      <c r="AJ185" s="1048"/>
      <c r="AK185" s="1048"/>
      <c r="AL185" s="1048"/>
      <c r="AM185" s="1048"/>
      <c r="AN185" s="1048"/>
      <c r="AO185" s="1048"/>
      <c r="AP185" s="1048"/>
      <c r="AQ185" s="1048"/>
    </row>
    <row r="186" spans="2:43" x14ac:dyDescent="0.25">
      <c r="B186" s="1064"/>
      <c r="C186" s="1065"/>
      <c r="D186" s="1064"/>
      <c r="E186" s="1067"/>
      <c r="F186" s="1067"/>
      <c r="G186" s="1052"/>
      <c r="H186" s="1055"/>
      <c r="I186" s="1055"/>
      <c r="J186" s="1114" t="str">
        <f t="shared" si="11"/>
        <v/>
      </c>
      <c r="K186" s="1055"/>
      <c r="L186" s="1055"/>
      <c r="M186" s="1115" t="str">
        <f t="shared" si="12"/>
        <v/>
      </c>
      <c r="N186" s="1055"/>
      <c r="O186" s="1055"/>
      <c r="P186" s="1115" t="str">
        <f t="shared" si="13"/>
        <v/>
      </c>
      <c r="Q186" s="1055"/>
      <c r="R186" s="1055"/>
      <c r="S186" s="1115" t="str">
        <f t="shared" si="14"/>
        <v/>
      </c>
      <c r="T186" s="1054"/>
      <c r="U186" s="1055"/>
      <c r="V186" s="1253" t="str">
        <f t="shared" si="15"/>
        <v/>
      </c>
      <c r="W186" s="1048"/>
      <c r="X186" s="1048"/>
      <c r="Y186" s="1048"/>
      <c r="Z186" s="1048"/>
      <c r="AA186" s="1048"/>
      <c r="AB186" s="1048"/>
      <c r="AC186" s="1048"/>
      <c r="AD186" s="1048"/>
      <c r="AE186" s="1048"/>
      <c r="AF186" s="1048"/>
      <c r="AG186" s="1048"/>
      <c r="AH186" s="1048"/>
      <c r="AI186" s="1048"/>
      <c r="AJ186" s="1048"/>
      <c r="AK186" s="1048"/>
      <c r="AL186" s="1048"/>
      <c r="AM186" s="1048"/>
      <c r="AN186" s="1048"/>
      <c r="AO186" s="1048"/>
      <c r="AP186" s="1048"/>
      <c r="AQ186" s="1048"/>
    </row>
    <row r="187" spans="2:43" x14ac:dyDescent="0.25">
      <c r="B187" s="1064"/>
      <c r="C187" s="1065"/>
      <c r="D187" s="1064"/>
      <c r="E187" s="1067"/>
      <c r="F187" s="1067"/>
      <c r="G187" s="1052"/>
      <c r="H187" s="1055"/>
      <c r="I187" s="1055"/>
      <c r="J187" s="1114" t="str">
        <f t="shared" si="11"/>
        <v/>
      </c>
      <c r="K187" s="1055"/>
      <c r="L187" s="1055"/>
      <c r="M187" s="1115" t="str">
        <f t="shared" si="12"/>
        <v/>
      </c>
      <c r="N187" s="1055"/>
      <c r="O187" s="1055"/>
      <c r="P187" s="1115" t="str">
        <f t="shared" si="13"/>
        <v/>
      </c>
      <c r="Q187" s="1055"/>
      <c r="R187" s="1055"/>
      <c r="S187" s="1115" t="str">
        <f t="shared" si="14"/>
        <v/>
      </c>
      <c r="T187" s="1054"/>
      <c r="U187" s="1055"/>
      <c r="V187" s="1253" t="str">
        <f t="shared" si="15"/>
        <v/>
      </c>
      <c r="W187" s="1048"/>
      <c r="X187" s="1048"/>
      <c r="Y187" s="1048"/>
      <c r="Z187" s="1048"/>
      <c r="AA187" s="1048"/>
      <c r="AB187" s="1048"/>
      <c r="AC187" s="1048"/>
      <c r="AD187" s="1048"/>
      <c r="AE187" s="1048"/>
      <c r="AF187" s="1048"/>
      <c r="AG187" s="1048"/>
      <c r="AH187" s="1048"/>
      <c r="AI187" s="1048"/>
      <c r="AJ187" s="1048"/>
      <c r="AK187" s="1048"/>
      <c r="AL187" s="1048"/>
      <c r="AM187" s="1048"/>
      <c r="AN187" s="1048"/>
      <c r="AO187" s="1048"/>
      <c r="AP187" s="1048"/>
      <c r="AQ187" s="1048"/>
    </row>
    <row r="188" spans="2:43" x14ac:dyDescent="0.25">
      <c r="B188" s="1064"/>
      <c r="C188" s="1065"/>
      <c r="D188" s="1064"/>
      <c r="E188" s="1067"/>
      <c r="F188" s="1067"/>
      <c r="G188" s="1052"/>
      <c r="H188" s="1055"/>
      <c r="I188" s="1055"/>
      <c r="J188" s="1114" t="str">
        <f t="shared" si="11"/>
        <v/>
      </c>
      <c r="K188" s="1055"/>
      <c r="L188" s="1055"/>
      <c r="M188" s="1115" t="str">
        <f t="shared" si="12"/>
        <v/>
      </c>
      <c r="N188" s="1055"/>
      <c r="O188" s="1055"/>
      <c r="P188" s="1115" t="str">
        <f t="shared" si="13"/>
        <v/>
      </c>
      <c r="Q188" s="1055"/>
      <c r="R188" s="1055"/>
      <c r="S188" s="1115" t="str">
        <f t="shared" si="14"/>
        <v/>
      </c>
      <c r="T188" s="1054"/>
      <c r="U188" s="1055"/>
      <c r="V188" s="1253" t="str">
        <f t="shared" si="15"/>
        <v/>
      </c>
      <c r="W188" s="1048"/>
      <c r="X188" s="1048"/>
      <c r="Y188" s="1048"/>
      <c r="Z188" s="1048"/>
      <c r="AA188" s="1048"/>
      <c r="AB188" s="1048"/>
      <c r="AC188" s="1048"/>
      <c r="AD188" s="1048"/>
      <c r="AE188" s="1048"/>
      <c r="AF188" s="1048"/>
      <c r="AG188" s="1048"/>
      <c r="AH188" s="1048"/>
      <c r="AI188" s="1048"/>
      <c r="AJ188" s="1048"/>
      <c r="AK188" s="1048"/>
      <c r="AL188" s="1048"/>
      <c r="AM188" s="1048"/>
      <c r="AN188" s="1048"/>
      <c r="AO188" s="1048"/>
      <c r="AP188" s="1048"/>
      <c r="AQ188" s="1048"/>
    </row>
    <row r="189" spans="2:43" x14ac:dyDescent="0.25">
      <c r="B189" s="1064"/>
      <c r="C189" s="1065"/>
      <c r="D189" s="1064"/>
      <c r="E189" s="1067"/>
      <c r="F189" s="1067"/>
      <c r="G189" s="1052"/>
      <c r="H189" s="1055"/>
      <c r="I189" s="1055"/>
      <c r="J189" s="1114" t="str">
        <f t="shared" si="11"/>
        <v/>
      </c>
      <c r="K189" s="1055"/>
      <c r="L189" s="1055"/>
      <c r="M189" s="1115" t="str">
        <f t="shared" si="12"/>
        <v/>
      </c>
      <c r="N189" s="1055"/>
      <c r="O189" s="1055"/>
      <c r="P189" s="1115" t="str">
        <f t="shared" si="13"/>
        <v/>
      </c>
      <c r="Q189" s="1055"/>
      <c r="R189" s="1055"/>
      <c r="S189" s="1115" t="str">
        <f t="shared" si="14"/>
        <v/>
      </c>
      <c r="T189" s="1054"/>
      <c r="U189" s="1055"/>
      <c r="V189" s="1253" t="str">
        <f t="shared" si="15"/>
        <v/>
      </c>
      <c r="W189" s="1048"/>
      <c r="X189" s="1048"/>
      <c r="Y189" s="1048"/>
      <c r="Z189" s="1048"/>
      <c r="AA189" s="1048"/>
      <c r="AB189" s="1048"/>
      <c r="AC189" s="1048"/>
      <c r="AD189" s="1048"/>
      <c r="AE189" s="1048"/>
      <c r="AF189" s="1048"/>
      <c r="AG189" s="1048"/>
      <c r="AH189" s="1048"/>
      <c r="AI189" s="1048"/>
      <c r="AJ189" s="1048"/>
      <c r="AK189" s="1048"/>
      <c r="AL189" s="1048"/>
      <c r="AM189" s="1048"/>
      <c r="AN189" s="1048"/>
      <c r="AO189" s="1048"/>
      <c r="AP189" s="1048"/>
      <c r="AQ189" s="1048"/>
    </row>
    <row r="190" spans="2:43" x14ac:dyDescent="0.25">
      <c r="B190" s="1064"/>
      <c r="C190" s="1065"/>
      <c r="D190" s="1064"/>
      <c r="E190" s="1067"/>
      <c r="F190" s="1067"/>
      <c r="G190" s="1052"/>
      <c r="H190" s="1055"/>
      <c r="I190" s="1055"/>
      <c r="J190" s="1114" t="str">
        <f t="shared" si="11"/>
        <v/>
      </c>
      <c r="K190" s="1055"/>
      <c r="L190" s="1055"/>
      <c r="M190" s="1115" t="str">
        <f t="shared" si="12"/>
        <v/>
      </c>
      <c r="N190" s="1055"/>
      <c r="O190" s="1055"/>
      <c r="P190" s="1115" t="str">
        <f t="shared" si="13"/>
        <v/>
      </c>
      <c r="Q190" s="1055"/>
      <c r="R190" s="1055"/>
      <c r="S190" s="1115" t="str">
        <f t="shared" si="14"/>
        <v/>
      </c>
      <c r="T190" s="1054"/>
      <c r="U190" s="1055"/>
      <c r="V190" s="1253" t="str">
        <f t="shared" si="15"/>
        <v/>
      </c>
      <c r="W190" s="1048"/>
      <c r="X190" s="1048"/>
      <c r="Y190" s="1048"/>
      <c r="Z190" s="1048"/>
      <c r="AA190" s="1048"/>
      <c r="AB190" s="1048"/>
      <c r="AC190" s="1048"/>
      <c r="AD190" s="1048"/>
      <c r="AE190" s="1048"/>
      <c r="AF190" s="1048"/>
      <c r="AG190" s="1048"/>
      <c r="AH190" s="1048"/>
      <c r="AI190" s="1048"/>
      <c r="AJ190" s="1048"/>
      <c r="AK190" s="1048"/>
      <c r="AL190" s="1048"/>
      <c r="AM190" s="1048"/>
      <c r="AN190" s="1048"/>
      <c r="AO190" s="1048"/>
      <c r="AP190" s="1048"/>
      <c r="AQ190" s="1048"/>
    </row>
    <row r="191" spans="2:43" x14ac:dyDescent="0.25">
      <c r="B191" s="1064"/>
      <c r="C191" s="1065"/>
      <c r="D191" s="1064"/>
      <c r="E191" s="1067"/>
      <c r="F191" s="1067"/>
      <c r="G191" s="1052"/>
      <c r="H191" s="1055"/>
      <c r="I191" s="1055"/>
      <c r="J191" s="1114" t="str">
        <f t="shared" si="11"/>
        <v/>
      </c>
      <c r="K191" s="1055"/>
      <c r="L191" s="1055"/>
      <c r="M191" s="1115" t="str">
        <f t="shared" si="12"/>
        <v/>
      </c>
      <c r="N191" s="1055"/>
      <c r="O191" s="1055"/>
      <c r="P191" s="1115" t="str">
        <f t="shared" si="13"/>
        <v/>
      </c>
      <c r="Q191" s="1055"/>
      <c r="R191" s="1055"/>
      <c r="S191" s="1115" t="str">
        <f t="shared" si="14"/>
        <v/>
      </c>
      <c r="T191" s="1054"/>
      <c r="U191" s="1055"/>
      <c r="V191" s="1253" t="str">
        <f t="shared" si="15"/>
        <v/>
      </c>
      <c r="W191" s="1048"/>
      <c r="X191" s="1048"/>
      <c r="Y191" s="1048"/>
      <c r="Z191" s="1048"/>
      <c r="AA191" s="1048"/>
      <c r="AB191" s="1048"/>
      <c r="AC191" s="1048"/>
      <c r="AD191" s="1048"/>
      <c r="AE191" s="1048"/>
      <c r="AF191" s="1048"/>
      <c r="AG191" s="1048"/>
      <c r="AH191" s="1048"/>
      <c r="AI191" s="1048"/>
      <c r="AJ191" s="1048"/>
      <c r="AK191" s="1048"/>
      <c r="AL191" s="1048"/>
      <c r="AM191" s="1048"/>
      <c r="AN191" s="1048"/>
      <c r="AO191" s="1048"/>
      <c r="AP191" s="1048"/>
      <c r="AQ191" s="1048"/>
    </row>
    <row r="192" spans="2:43" x14ac:dyDescent="0.25">
      <c r="B192" s="1064"/>
      <c r="C192" s="1065"/>
      <c r="D192" s="1064"/>
      <c r="E192" s="1067"/>
      <c r="F192" s="1067"/>
      <c r="G192" s="1052"/>
      <c r="H192" s="1055"/>
      <c r="I192" s="1055"/>
      <c r="J192" s="1114" t="str">
        <f t="shared" si="11"/>
        <v/>
      </c>
      <c r="K192" s="1055"/>
      <c r="L192" s="1055"/>
      <c r="M192" s="1115" t="str">
        <f t="shared" si="12"/>
        <v/>
      </c>
      <c r="N192" s="1055"/>
      <c r="O192" s="1055"/>
      <c r="P192" s="1115" t="str">
        <f t="shared" si="13"/>
        <v/>
      </c>
      <c r="Q192" s="1055"/>
      <c r="R192" s="1055"/>
      <c r="S192" s="1115" t="str">
        <f t="shared" si="14"/>
        <v/>
      </c>
      <c r="T192" s="1054"/>
      <c r="U192" s="1055"/>
      <c r="V192" s="1253" t="str">
        <f t="shared" si="15"/>
        <v/>
      </c>
      <c r="W192" s="1048"/>
      <c r="X192" s="1048"/>
      <c r="Y192" s="1048"/>
      <c r="Z192" s="1048"/>
      <c r="AA192" s="1048"/>
      <c r="AB192" s="1048"/>
      <c r="AC192" s="1048"/>
      <c r="AD192" s="1048"/>
      <c r="AE192" s="1048"/>
      <c r="AF192" s="1048"/>
      <c r="AG192" s="1048"/>
      <c r="AH192" s="1048"/>
      <c r="AI192" s="1048"/>
      <c r="AJ192" s="1048"/>
      <c r="AK192" s="1048"/>
      <c r="AL192" s="1048"/>
      <c r="AM192" s="1048"/>
      <c r="AN192" s="1048"/>
      <c r="AO192" s="1048"/>
      <c r="AP192" s="1048"/>
      <c r="AQ192" s="1048"/>
    </row>
    <row r="193" spans="2:43" x14ac:dyDescent="0.25">
      <c r="B193" s="1064"/>
      <c r="C193" s="1065"/>
      <c r="D193" s="1064"/>
      <c r="E193" s="1067"/>
      <c r="F193" s="1067"/>
      <c r="G193" s="1052"/>
      <c r="H193" s="1055"/>
      <c r="I193" s="1055"/>
      <c r="J193" s="1114" t="str">
        <f t="shared" si="11"/>
        <v/>
      </c>
      <c r="K193" s="1055"/>
      <c r="L193" s="1055"/>
      <c r="M193" s="1115" t="str">
        <f t="shared" si="12"/>
        <v/>
      </c>
      <c r="N193" s="1055"/>
      <c r="O193" s="1055"/>
      <c r="P193" s="1115" t="str">
        <f t="shared" si="13"/>
        <v/>
      </c>
      <c r="Q193" s="1055"/>
      <c r="R193" s="1055"/>
      <c r="S193" s="1115" t="str">
        <f t="shared" si="14"/>
        <v/>
      </c>
      <c r="T193" s="1054"/>
      <c r="U193" s="1055"/>
      <c r="V193" s="1253" t="str">
        <f t="shared" si="15"/>
        <v/>
      </c>
      <c r="W193" s="1048"/>
      <c r="X193" s="1048"/>
      <c r="Y193" s="1048"/>
      <c r="Z193" s="1048"/>
      <c r="AA193" s="1048"/>
      <c r="AB193" s="1048"/>
      <c r="AC193" s="1048"/>
      <c r="AD193" s="1048"/>
      <c r="AE193" s="1048"/>
      <c r="AF193" s="1048"/>
      <c r="AG193" s="1048"/>
      <c r="AH193" s="1048"/>
      <c r="AI193" s="1048"/>
      <c r="AJ193" s="1048"/>
      <c r="AK193" s="1048"/>
      <c r="AL193" s="1048"/>
      <c r="AM193" s="1048"/>
      <c r="AN193" s="1048"/>
      <c r="AO193" s="1048"/>
      <c r="AP193" s="1048"/>
      <c r="AQ193" s="1048"/>
    </row>
    <row r="194" spans="2:43" x14ac:dyDescent="0.25">
      <c r="B194" s="1064"/>
      <c r="C194" s="1065"/>
      <c r="D194" s="1064"/>
      <c r="E194" s="1067"/>
      <c r="F194" s="1067"/>
      <c r="G194" s="1052"/>
      <c r="H194" s="1055"/>
      <c r="I194" s="1055"/>
      <c r="J194" s="1114" t="str">
        <f t="shared" si="11"/>
        <v/>
      </c>
      <c r="K194" s="1055"/>
      <c r="L194" s="1055"/>
      <c r="M194" s="1115" t="str">
        <f t="shared" si="12"/>
        <v/>
      </c>
      <c r="N194" s="1055"/>
      <c r="O194" s="1055"/>
      <c r="P194" s="1115" t="str">
        <f t="shared" si="13"/>
        <v/>
      </c>
      <c r="Q194" s="1055"/>
      <c r="R194" s="1055"/>
      <c r="S194" s="1115" t="str">
        <f t="shared" si="14"/>
        <v/>
      </c>
      <c r="T194" s="1054"/>
      <c r="U194" s="1055"/>
      <c r="V194" s="1253" t="str">
        <f t="shared" si="15"/>
        <v/>
      </c>
      <c r="W194" s="1048"/>
      <c r="X194" s="1048"/>
      <c r="Y194" s="1048"/>
      <c r="Z194" s="1048"/>
      <c r="AA194" s="1048"/>
      <c r="AB194" s="1048"/>
      <c r="AC194" s="1048"/>
      <c r="AD194" s="1048"/>
      <c r="AE194" s="1048"/>
      <c r="AF194" s="1048"/>
      <c r="AG194" s="1048"/>
      <c r="AH194" s="1048"/>
      <c r="AI194" s="1048"/>
      <c r="AJ194" s="1048"/>
      <c r="AK194" s="1048"/>
      <c r="AL194" s="1048"/>
      <c r="AM194" s="1048"/>
      <c r="AN194" s="1048"/>
      <c r="AO194" s="1048"/>
      <c r="AP194" s="1048"/>
      <c r="AQ194" s="1048"/>
    </row>
    <row r="195" spans="2:43" x14ac:dyDescent="0.25">
      <c r="B195" s="1064"/>
      <c r="C195" s="1065"/>
      <c r="D195" s="1064"/>
      <c r="E195" s="1067"/>
      <c r="F195" s="1067"/>
      <c r="G195" s="1052"/>
      <c r="H195" s="1055"/>
      <c r="I195" s="1055"/>
      <c r="J195" s="1114" t="str">
        <f t="shared" si="11"/>
        <v/>
      </c>
      <c r="K195" s="1055"/>
      <c r="L195" s="1055"/>
      <c r="M195" s="1115" t="str">
        <f t="shared" si="12"/>
        <v/>
      </c>
      <c r="N195" s="1055"/>
      <c r="O195" s="1055"/>
      <c r="P195" s="1115" t="str">
        <f t="shared" si="13"/>
        <v/>
      </c>
      <c r="Q195" s="1055"/>
      <c r="R195" s="1055"/>
      <c r="S195" s="1115" t="str">
        <f t="shared" si="14"/>
        <v/>
      </c>
      <c r="T195" s="1054"/>
      <c r="U195" s="1055"/>
      <c r="V195" s="1253" t="str">
        <f t="shared" si="15"/>
        <v/>
      </c>
      <c r="W195" s="1048"/>
      <c r="X195" s="1048"/>
      <c r="Y195" s="1048"/>
      <c r="Z195" s="1048"/>
      <c r="AA195" s="1048"/>
      <c r="AB195" s="1048"/>
      <c r="AC195" s="1048"/>
      <c r="AD195" s="1048"/>
      <c r="AE195" s="1048"/>
      <c r="AF195" s="1048"/>
      <c r="AG195" s="1048"/>
      <c r="AH195" s="1048"/>
      <c r="AI195" s="1048"/>
      <c r="AJ195" s="1048"/>
      <c r="AK195" s="1048"/>
      <c r="AL195" s="1048"/>
      <c r="AM195" s="1048"/>
      <c r="AN195" s="1048"/>
      <c r="AO195" s="1048"/>
      <c r="AP195" s="1048"/>
      <c r="AQ195" s="1048"/>
    </row>
    <row r="196" spans="2:43" x14ac:dyDescent="0.25">
      <c r="B196" s="1064"/>
      <c r="C196" s="1065"/>
      <c r="D196" s="1064"/>
      <c r="E196" s="1067"/>
      <c r="F196" s="1067"/>
      <c r="G196" s="1052"/>
      <c r="H196" s="1055"/>
      <c r="I196" s="1055"/>
      <c r="J196" s="1114" t="str">
        <f t="shared" si="11"/>
        <v/>
      </c>
      <c r="K196" s="1055"/>
      <c r="L196" s="1055"/>
      <c r="M196" s="1115" t="str">
        <f t="shared" si="12"/>
        <v/>
      </c>
      <c r="N196" s="1055"/>
      <c r="O196" s="1055"/>
      <c r="P196" s="1115" t="str">
        <f t="shared" si="13"/>
        <v/>
      </c>
      <c r="Q196" s="1055"/>
      <c r="R196" s="1055"/>
      <c r="S196" s="1115" t="str">
        <f t="shared" si="14"/>
        <v/>
      </c>
      <c r="T196" s="1054"/>
      <c r="U196" s="1055"/>
      <c r="V196" s="1253" t="str">
        <f t="shared" si="15"/>
        <v/>
      </c>
      <c r="W196" s="1048"/>
      <c r="X196" s="1048"/>
      <c r="Y196" s="1048"/>
      <c r="Z196" s="1048"/>
      <c r="AA196" s="1048"/>
      <c r="AB196" s="1048"/>
      <c r="AC196" s="1048"/>
      <c r="AD196" s="1048"/>
      <c r="AE196" s="1048"/>
      <c r="AF196" s="1048"/>
      <c r="AG196" s="1048"/>
      <c r="AH196" s="1048"/>
      <c r="AI196" s="1048"/>
      <c r="AJ196" s="1048"/>
      <c r="AK196" s="1048"/>
      <c r="AL196" s="1048"/>
      <c r="AM196" s="1048"/>
      <c r="AN196" s="1048"/>
      <c r="AO196" s="1048"/>
      <c r="AP196" s="1048"/>
      <c r="AQ196" s="1048"/>
    </row>
    <row r="197" spans="2:43" x14ac:dyDescent="0.25">
      <c r="B197" s="1064"/>
      <c r="C197" s="1065"/>
      <c r="D197" s="1064"/>
      <c r="E197" s="1067"/>
      <c r="F197" s="1067"/>
      <c r="G197" s="1052"/>
      <c r="H197" s="1055"/>
      <c r="I197" s="1055"/>
      <c r="J197" s="1114" t="str">
        <f t="shared" si="11"/>
        <v/>
      </c>
      <c r="K197" s="1055"/>
      <c r="L197" s="1055"/>
      <c r="M197" s="1115" t="str">
        <f t="shared" si="12"/>
        <v/>
      </c>
      <c r="N197" s="1055"/>
      <c r="O197" s="1055"/>
      <c r="P197" s="1115" t="str">
        <f t="shared" si="13"/>
        <v/>
      </c>
      <c r="Q197" s="1055"/>
      <c r="R197" s="1055"/>
      <c r="S197" s="1115" t="str">
        <f t="shared" si="14"/>
        <v/>
      </c>
      <c r="T197" s="1054"/>
      <c r="U197" s="1055"/>
      <c r="V197" s="1253" t="str">
        <f t="shared" si="15"/>
        <v/>
      </c>
      <c r="W197" s="1048"/>
      <c r="X197" s="1048"/>
      <c r="Y197" s="1048"/>
      <c r="Z197" s="1048"/>
      <c r="AA197" s="1048"/>
      <c r="AB197" s="1048"/>
      <c r="AC197" s="1048"/>
      <c r="AD197" s="1048"/>
      <c r="AE197" s="1048"/>
      <c r="AF197" s="1048"/>
      <c r="AG197" s="1048"/>
      <c r="AH197" s="1048"/>
      <c r="AI197" s="1048"/>
      <c r="AJ197" s="1048"/>
      <c r="AK197" s="1048"/>
      <c r="AL197" s="1048"/>
      <c r="AM197" s="1048"/>
      <c r="AN197" s="1048"/>
      <c r="AO197" s="1048"/>
      <c r="AP197" s="1048"/>
      <c r="AQ197" s="1048"/>
    </row>
    <row r="198" spans="2:43" x14ac:dyDescent="0.25">
      <c r="B198" s="1064"/>
      <c r="C198" s="1065"/>
      <c r="D198" s="1064"/>
      <c r="E198" s="1067"/>
      <c r="F198" s="1067"/>
      <c r="G198" s="1052"/>
      <c r="H198" s="1055"/>
      <c r="I198" s="1055"/>
      <c r="J198" s="1114" t="str">
        <f t="shared" si="11"/>
        <v/>
      </c>
      <c r="K198" s="1055"/>
      <c r="L198" s="1055"/>
      <c r="M198" s="1115" t="str">
        <f t="shared" si="12"/>
        <v/>
      </c>
      <c r="N198" s="1055"/>
      <c r="O198" s="1055"/>
      <c r="P198" s="1115" t="str">
        <f t="shared" si="13"/>
        <v/>
      </c>
      <c r="Q198" s="1055"/>
      <c r="R198" s="1055"/>
      <c r="S198" s="1115" t="str">
        <f t="shared" si="14"/>
        <v/>
      </c>
      <c r="T198" s="1054"/>
      <c r="U198" s="1055"/>
      <c r="V198" s="1253" t="str">
        <f t="shared" si="15"/>
        <v/>
      </c>
      <c r="W198" s="1048"/>
      <c r="X198" s="1048"/>
      <c r="Y198" s="1048"/>
      <c r="Z198" s="1048"/>
      <c r="AA198" s="1048"/>
      <c r="AB198" s="1048"/>
      <c r="AC198" s="1048"/>
      <c r="AD198" s="1048"/>
      <c r="AE198" s="1048"/>
      <c r="AF198" s="1048"/>
      <c r="AG198" s="1048"/>
      <c r="AH198" s="1048"/>
      <c r="AI198" s="1048"/>
      <c r="AJ198" s="1048"/>
      <c r="AK198" s="1048"/>
      <c r="AL198" s="1048"/>
      <c r="AM198" s="1048"/>
      <c r="AN198" s="1048"/>
      <c r="AO198" s="1048"/>
      <c r="AP198" s="1048"/>
      <c r="AQ198" s="1048"/>
    </row>
    <row r="199" spans="2:43" x14ac:dyDescent="0.25">
      <c r="B199" s="1064"/>
      <c r="C199" s="1065"/>
      <c r="D199" s="1064"/>
      <c r="E199" s="1067"/>
      <c r="F199" s="1067"/>
      <c r="G199" s="1052"/>
      <c r="H199" s="1055"/>
      <c r="I199" s="1055"/>
      <c r="J199" s="1114" t="str">
        <f t="shared" si="11"/>
        <v/>
      </c>
      <c r="K199" s="1055"/>
      <c r="L199" s="1055"/>
      <c r="M199" s="1115" t="str">
        <f t="shared" si="12"/>
        <v/>
      </c>
      <c r="N199" s="1055"/>
      <c r="O199" s="1055"/>
      <c r="P199" s="1115" t="str">
        <f t="shared" si="13"/>
        <v/>
      </c>
      <c r="Q199" s="1055"/>
      <c r="R199" s="1055"/>
      <c r="S199" s="1115" t="str">
        <f t="shared" si="14"/>
        <v/>
      </c>
      <c r="T199" s="1054"/>
      <c r="U199" s="1055"/>
      <c r="V199" s="1253" t="str">
        <f t="shared" si="15"/>
        <v/>
      </c>
      <c r="W199" s="1048"/>
      <c r="X199" s="1048"/>
      <c r="Y199" s="1048"/>
      <c r="Z199" s="1048"/>
      <c r="AA199" s="1048"/>
      <c r="AB199" s="1048"/>
      <c r="AC199" s="1048"/>
      <c r="AD199" s="1048"/>
      <c r="AE199" s="1048"/>
      <c r="AF199" s="1048"/>
      <c r="AG199" s="1048"/>
      <c r="AH199" s="1048"/>
      <c r="AI199" s="1048"/>
      <c r="AJ199" s="1048"/>
      <c r="AK199" s="1048"/>
      <c r="AL199" s="1048"/>
      <c r="AM199" s="1048"/>
      <c r="AN199" s="1048"/>
      <c r="AO199" s="1048"/>
      <c r="AP199" s="1048"/>
      <c r="AQ199" s="1048"/>
    </row>
    <row r="200" spans="2:43" x14ac:dyDescent="0.25">
      <c r="B200" s="1064"/>
      <c r="C200" s="1065"/>
      <c r="D200" s="1064"/>
      <c r="E200" s="1067"/>
      <c r="F200" s="1067"/>
      <c r="G200" s="1052"/>
      <c r="H200" s="1055"/>
      <c r="I200" s="1055"/>
      <c r="J200" s="1114" t="str">
        <f t="shared" si="11"/>
        <v/>
      </c>
      <c r="K200" s="1055"/>
      <c r="L200" s="1055"/>
      <c r="M200" s="1115" t="str">
        <f t="shared" si="12"/>
        <v/>
      </c>
      <c r="N200" s="1055"/>
      <c r="O200" s="1055"/>
      <c r="P200" s="1115" t="str">
        <f t="shared" si="13"/>
        <v/>
      </c>
      <c r="Q200" s="1055"/>
      <c r="R200" s="1055"/>
      <c r="S200" s="1115" t="str">
        <f t="shared" si="14"/>
        <v/>
      </c>
      <c r="T200" s="1054"/>
      <c r="U200" s="1055"/>
      <c r="V200" s="1253" t="str">
        <f t="shared" si="15"/>
        <v/>
      </c>
      <c r="W200" s="1048"/>
      <c r="X200" s="1048"/>
      <c r="Y200" s="1048"/>
      <c r="Z200" s="1048"/>
      <c r="AA200" s="1048"/>
      <c r="AB200" s="1048"/>
      <c r="AC200" s="1048"/>
      <c r="AD200" s="1048"/>
      <c r="AE200" s="1048"/>
      <c r="AF200" s="1048"/>
      <c r="AG200" s="1048"/>
      <c r="AH200" s="1048"/>
      <c r="AI200" s="1048"/>
      <c r="AJ200" s="1048"/>
      <c r="AK200" s="1048"/>
      <c r="AL200" s="1048"/>
      <c r="AM200" s="1048"/>
      <c r="AN200" s="1048"/>
      <c r="AO200" s="1048"/>
      <c r="AP200" s="1048"/>
      <c r="AQ200" s="1048"/>
    </row>
    <row r="201" spans="2:43" x14ac:dyDescent="0.25">
      <c r="B201" s="1064"/>
      <c r="C201" s="1065"/>
      <c r="D201" s="1064"/>
      <c r="E201" s="1067"/>
      <c r="F201" s="1067"/>
      <c r="G201" s="1052"/>
      <c r="H201" s="1055"/>
      <c r="I201" s="1055"/>
      <c r="J201" s="1114" t="str">
        <f t="shared" si="11"/>
        <v/>
      </c>
      <c r="K201" s="1055"/>
      <c r="L201" s="1055"/>
      <c r="M201" s="1115" t="str">
        <f t="shared" si="12"/>
        <v/>
      </c>
      <c r="N201" s="1055"/>
      <c r="O201" s="1055"/>
      <c r="P201" s="1115" t="str">
        <f t="shared" si="13"/>
        <v/>
      </c>
      <c r="Q201" s="1055"/>
      <c r="R201" s="1055"/>
      <c r="S201" s="1115" t="str">
        <f t="shared" si="14"/>
        <v/>
      </c>
      <c r="T201" s="1054"/>
      <c r="U201" s="1055"/>
      <c r="V201" s="1253" t="str">
        <f t="shared" si="15"/>
        <v/>
      </c>
      <c r="W201" s="1048"/>
      <c r="X201" s="1048"/>
      <c r="Y201" s="1048"/>
      <c r="Z201" s="1048"/>
      <c r="AA201" s="1048"/>
      <c r="AB201" s="1048"/>
      <c r="AC201" s="1048"/>
      <c r="AD201" s="1048"/>
      <c r="AE201" s="1048"/>
      <c r="AF201" s="1048"/>
      <c r="AG201" s="1048"/>
      <c r="AH201" s="1048"/>
      <c r="AI201" s="1048"/>
      <c r="AJ201" s="1048"/>
      <c r="AK201" s="1048"/>
      <c r="AL201" s="1048"/>
      <c r="AM201" s="1048"/>
      <c r="AN201" s="1048"/>
      <c r="AO201" s="1048"/>
      <c r="AP201" s="1048"/>
      <c r="AQ201" s="1048"/>
    </row>
    <row r="202" spans="2:43" x14ac:dyDescent="0.25">
      <c r="B202" s="1064"/>
      <c r="C202" s="1065"/>
      <c r="D202" s="1064"/>
      <c r="E202" s="1067"/>
      <c r="F202" s="1067"/>
      <c r="G202" s="1052"/>
      <c r="H202" s="1055"/>
      <c r="I202" s="1055"/>
      <c r="J202" s="1114" t="str">
        <f t="shared" si="11"/>
        <v/>
      </c>
      <c r="K202" s="1055"/>
      <c r="L202" s="1055"/>
      <c r="M202" s="1115" t="str">
        <f t="shared" si="12"/>
        <v/>
      </c>
      <c r="N202" s="1055"/>
      <c r="O202" s="1055"/>
      <c r="P202" s="1115" t="str">
        <f t="shared" si="13"/>
        <v/>
      </c>
      <c r="Q202" s="1055"/>
      <c r="R202" s="1055"/>
      <c r="S202" s="1115" t="str">
        <f t="shared" si="14"/>
        <v/>
      </c>
      <c r="T202" s="1054"/>
      <c r="U202" s="1055"/>
      <c r="V202" s="1253" t="str">
        <f t="shared" si="15"/>
        <v/>
      </c>
      <c r="W202" s="1048"/>
      <c r="X202" s="1048"/>
      <c r="Y202" s="1048"/>
      <c r="Z202" s="1048"/>
      <c r="AA202" s="1048"/>
      <c r="AB202" s="1048"/>
      <c r="AC202" s="1048"/>
      <c r="AD202" s="1048"/>
      <c r="AE202" s="1048"/>
      <c r="AF202" s="1048"/>
      <c r="AG202" s="1048"/>
      <c r="AH202" s="1048"/>
      <c r="AI202" s="1048"/>
      <c r="AJ202" s="1048"/>
      <c r="AK202" s="1048"/>
      <c r="AL202" s="1048"/>
      <c r="AM202" s="1048"/>
      <c r="AN202" s="1048"/>
      <c r="AO202" s="1048"/>
      <c r="AP202" s="1048"/>
      <c r="AQ202" s="1048"/>
    </row>
    <row r="203" spans="2:43" x14ac:dyDescent="0.25">
      <c r="B203" s="1064"/>
      <c r="C203" s="1065"/>
      <c r="D203" s="1064"/>
      <c r="E203" s="1067"/>
      <c r="F203" s="1067"/>
      <c r="G203" s="1052"/>
      <c r="H203" s="1055"/>
      <c r="I203" s="1055"/>
      <c r="J203" s="1114" t="str">
        <f t="shared" si="11"/>
        <v/>
      </c>
      <c r="K203" s="1055"/>
      <c r="L203" s="1055"/>
      <c r="M203" s="1115" t="str">
        <f t="shared" si="12"/>
        <v/>
      </c>
      <c r="N203" s="1055"/>
      <c r="O203" s="1055"/>
      <c r="P203" s="1115" t="str">
        <f t="shared" si="13"/>
        <v/>
      </c>
      <c r="Q203" s="1055"/>
      <c r="R203" s="1055"/>
      <c r="S203" s="1115" t="str">
        <f t="shared" si="14"/>
        <v/>
      </c>
      <c r="T203" s="1054"/>
      <c r="U203" s="1055"/>
      <c r="V203" s="1253" t="str">
        <f t="shared" si="15"/>
        <v/>
      </c>
      <c r="W203" s="1048"/>
      <c r="X203" s="1048"/>
      <c r="Y203" s="1048"/>
      <c r="Z203" s="1048"/>
      <c r="AA203" s="1048"/>
      <c r="AB203" s="1048"/>
      <c r="AC203" s="1048"/>
      <c r="AD203" s="1048"/>
      <c r="AE203" s="1048"/>
      <c r="AF203" s="1048"/>
      <c r="AG203" s="1048"/>
      <c r="AH203" s="1048"/>
      <c r="AI203" s="1048"/>
      <c r="AJ203" s="1048"/>
      <c r="AK203" s="1048"/>
      <c r="AL203" s="1048"/>
      <c r="AM203" s="1048"/>
      <c r="AN203" s="1048"/>
      <c r="AO203" s="1048"/>
      <c r="AP203" s="1048"/>
      <c r="AQ203" s="1048"/>
    </row>
    <row r="204" spans="2:43" x14ac:dyDescent="0.25">
      <c r="B204" s="1064"/>
      <c r="C204" s="1065"/>
      <c r="D204" s="1064"/>
      <c r="E204" s="1067"/>
      <c r="F204" s="1067"/>
      <c r="G204" s="1052"/>
      <c r="H204" s="1055"/>
      <c r="I204" s="1055"/>
      <c r="J204" s="1114" t="str">
        <f t="shared" si="11"/>
        <v/>
      </c>
      <c r="K204" s="1055"/>
      <c r="L204" s="1055"/>
      <c r="M204" s="1115" t="str">
        <f t="shared" si="12"/>
        <v/>
      </c>
      <c r="N204" s="1055"/>
      <c r="O204" s="1055"/>
      <c r="P204" s="1115" t="str">
        <f t="shared" si="13"/>
        <v/>
      </c>
      <c r="Q204" s="1055"/>
      <c r="R204" s="1055"/>
      <c r="S204" s="1115" t="str">
        <f t="shared" si="14"/>
        <v/>
      </c>
      <c r="T204" s="1054"/>
      <c r="U204" s="1055"/>
      <c r="V204" s="1253" t="str">
        <f t="shared" si="15"/>
        <v/>
      </c>
      <c r="W204" s="1048"/>
      <c r="X204" s="1048"/>
      <c r="Y204" s="1048"/>
      <c r="Z204" s="1048"/>
      <c r="AA204" s="1048"/>
      <c r="AB204" s="1048"/>
      <c r="AC204" s="1048"/>
      <c r="AD204" s="1048"/>
      <c r="AE204" s="1048"/>
      <c r="AF204" s="1048"/>
      <c r="AG204" s="1048"/>
      <c r="AH204" s="1048"/>
      <c r="AI204" s="1048"/>
      <c r="AJ204" s="1048"/>
      <c r="AK204" s="1048"/>
      <c r="AL204" s="1048"/>
      <c r="AM204" s="1048"/>
      <c r="AN204" s="1048"/>
      <c r="AO204" s="1048"/>
      <c r="AP204" s="1048"/>
      <c r="AQ204" s="1048"/>
    </row>
    <row r="205" spans="2:43" x14ac:dyDescent="0.25">
      <c r="B205" s="1064"/>
      <c r="C205" s="1065"/>
      <c r="D205" s="1064"/>
      <c r="E205" s="1067"/>
      <c r="F205" s="1067"/>
      <c r="G205" s="1052"/>
      <c r="H205" s="1055"/>
      <c r="I205" s="1055"/>
      <c r="J205" s="1114" t="str">
        <f t="shared" si="11"/>
        <v/>
      </c>
      <c r="K205" s="1055"/>
      <c r="L205" s="1055"/>
      <c r="M205" s="1115" t="str">
        <f t="shared" si="12"/>
        <v/>
      </c>
      <c r="N205" s="1055"/>
      <c r="O205" s="1055"/>
      <c r="P205" s="1115" t="str">
        <f t="shared" si="13"/>
        <v/>
      </c>
      <c r="Q205" s="1055"/>
      <c r="R205" s="1055"/>
      <c r="S205" s="1115" t="str">
        <f t="shared" si="14"/>
        <v/>
      </c>
      <c r="T205" s="1054"/>
      <c r="U205" s="1055"/>
      <c r="V205" s="1253" t="str">
        <f t="shared" si="15"/>
        <v/>
      </c>
      <c r="W205" s="1048"/>
      <c r="X205" s="1048"/>
      <c r="Y205" s="1048"/>
      <c r="Z205" s="1048"/>
      <c r="AA205" s="1048"/>
      <c r="AB205" s="1048"/>
      <c r="AC205" s="1048"/>
      <c r="AD205" s="1048"/>
      <c r="AE205" s="1048"/>
      <c r="AF205" s="1048"/>
      <c r="AG205" s="1048"/>
      <c r="AH205" s="1048"/>
      <c r="AI205" s="1048"/>
      <c r="AJ205" s="1048"/>
      <c r="AK205" s="1048"/>
      <c r="AL205" s="1048"/>
      <c r="AM205" s="1048"/>
      <c r="AN205" s="1048"/>
      <c r="AO205" s="1048"/>
      <c r="AP205" s="1048"/>
      <c r="AQ205" s="1048"/>
    </row>
    <row r="206" spans="2:43" x14ac:dyDescent="0.25">
      <c r="B206" s="1064"/>
      <c r="C206" s="1065"/>
      <c r="D206" s="1064"/>
      <c r="E206" s="1067"/>
      <c r="F206" s="1067"/>
      <c r="G206" s="1052"/>
      <c r="H206" s="1055"/>
      <c r="I206" s="1055"/>
      <c r="J206" s="1114" t="str">
        <f t="shared" si="11"/>
        <v/>
      </c>
      <c r="K206" s="1055"/>
      <c r="L206" s="1055"/>
      <c r="M206" s="1115" t="str">
        <f t="shared" si="12"/>
        <v/>
      </c>
      <c r="N206" s="1055"/>
      <c r="O206" s="1055"/>
      <c r="P206" s="1115" t="str">
        <f t="shared" si="13"/>
        <v/>
      </c>
      <c r="Q206" s="1055"/>
      <c r="R206" s="1055"/>
      <c r="S206" s="1115" t="str">
        <f t="shared" si="14"/>
        <v/>
      </c>
      <c r="T206" s="1054"/>
      <c r="U206" s="1055"/>
      <c r="V206" s="1253" t="str">
        <f t="shared" si="15"/>
        <v/>
      </c>
      <c r="W206" s="1048"/>
      <c r="X206" s="1048"/>
      <c r="Y206" s="1048"/>
      <c r="Z206" s="1048"/>
      <c r="AA206" s="1048"/>
      <c r="AB206" s="1048"/>
      <c r="AC206" s="1048"/>
      <c r="AD206" s="1048"/>
      <c r="AE206" s="1048"/>
      <c r="AF206" s="1048"/>
      <c r="AG206" s="1048"/>
      <c r="AH206" s="1048"/>
      <c r="AI206" s="1048"/>
      <c r="AJ206" s="1048"/>
      <c r="AK206" s="1048"/>
      <c r="AL206" s="1048"/>
      <c r="AM206" s="1048"/>
      <c r="AN206" s="1048"/>
      <c r="AO206" s="1048"/>
      <c r="AP206" s="1048"/>
      <c r="AQ206" s="1048"/>
    </row>
    <row r="207" spans="2:43" x14ac:dyDescent="0.25">
      <c r="B207" s="1064"/>
      <c r="C207" s="1065"/>
      <c r="D207" s="1064"/>
      <c r="E207" s="1067"/>
      <c r="F207" s="1067"/>
      <c r="G207" s="1052"/>
      <c r="H207" s="1055"/>
      <c r="I207" s="1055"/>
      <c r="J207" s="1114" t="str">
        <f t="shared" si="11"/>
        <v/>
      </c>
      <c r="K207" s="1055"/>
      <c r="L207" s="1055"/>
      <c r="M207" s="1115" t="str">
        <f t="shared" si="12"/>
        <v/>
      </c>
      <c r="N207" s="1055"/>
      <c r="O207" s="1055"/>
      <c r="P207" s="1115" t="str">
        <f t="shared" si="13"/>
        <v/>
      </c>
      <c r="Q207" s="1055"/>
      <c r="R207" s="1055"/>
      <c r="S207" s="1115" t="str">
        <f t="shared" si="14"/>
        <v/>
      </c>
      <c r="T207" s="1054"/>
      <c r="U207" s="1055"/>
      <c r="V207" s="1253" t="str">
        <f t="shared" si="15"/>
        <v/>
      </c>
      <c r="W207" s="1048"/>
      <c r="X207" s="1048"/>
      <c r="Y207" s="1048"/>
      <c r="Z207" s="1048"/>
      <c r="AA207" s="1048"/>
      <c r="AB207" s="1048"/>
      <c r="AC207" s="1048"/>
      <c r="AD207" s="1048"/>
      <c r="AE207" s="1048"/>
      <c r="AF207" s="1048"/>
      <c r="AG207" s="1048"/>
      <c r="AH207" s="1048"/>
      <c r="AI207" s="1048"/>
      <c r="AJ207" s="1048"/>
      <c r="AK207" s="1048"/>
      <c r="AL207" s="1048"/>
      <c r="AM207" s="1048"/>
      <c r="AN207" s="1048"/>
      <c r="AO207" s="1048"/>
      <c r="AP207" s="1048"/>
      <c r="AQ207" s="1048"/>
    </row>
    <row r="208" spans="2:43" x14ac:dyDescent="0.25">
      <c r="B208" s="1064"/>
      <c r="C208" s="1065"/>
      <c r="D208" s="1064"/>
      <c r="E208" s="1067"/>
      <c r="F208" s="1067"/>
      <c r="G208" s="1052"/>
      <c r="H208" s="1055"/>
      <c r="I208" s="1055"/>
      <c r="J208" s="1114" t="str">
        <f t="shared" si="11"/>
        <v/>
      </c>
      <c r="K208" s="1055"/>
      <c r="L208" s="1055"/>
      <c r="M208" s="1115" t="str">
        <f t="shared" si="12"/>
        <v/>
      </c>
      <c r="N208" s="1055"/>
      <c r="O208" s="1055"/>
      <c r="P208" s="1115" t="str">
        <f t="shared" si="13"/>
        <v/>
      </c>
      <c r="Q208" s="1055"/>
      <c r="R208" s="1055"/>
      <c r="S208" s="1115" t="str">
        <f t="shared" si="14"/>
        <v/>
      </c>
      <c r="T208" s="1054"/>
      <c r="U208" s="1055"/>
      <c r="V208" s="1253" t="str">
        <f t="shared" si="15"/>
        <v/>
      </c>
      <c r="W208" s="1048"/>
      <c r="X208" s="1048"/>
      <c r="Y208" s="1048"/>
      <c r="Z208" s="1048"/>
      <c r="AA208" s="1048"/>
      <c r="AB208" s="1048"/>
      <c r="AC208" s="1048"/>
      <c r="AD208" s="1048"/>
      <c r="AE208" s="1048"/>
      <c r="AF208" s="1048"/>
      <c r="AG208" s="1048"/>
      <c r="AH208" s="1048"/>
      <c r="AI208" s="1048"/>
      <c r="AJ208" s="1048"/>
      <c r="AK208" s="1048"/>
      <c r="AL208" s="1048"/>
      <c r="AM208" s="1048"/>
      <c r="AN208" s="1048"/>
      <c r="AO208" s="1048"/>
      <c r="AP208" s="1048"/>
      <c r="AQ208" s="1048"/>
    </row>
    <row r="209" spans="2:43" x14ac:dyDescent="0.25">
      <c r="B209" s="1064"/>
      <c r="C209" s="1065"/>
      <c r="D209" s="1064"/>
      <c r="E209" s="1067"/>
      <c r="F209" s="1067"/>
      <c r="G209" s="1052"/>
      <c r="H209" s="1055"/>
      <c r="I209" s="1055"/>
      <c r="J209" s="1114" t="str">
        <f t="shared" si="11"/>
        <v/>
      </c>
      <c r="K209" s="1055"/>
      <c r="L209" s="1055"/>
      <c r="M209" s="1115" t="str">
        <f t="shared" si="12"/>
        <v/>
      </c>
      <c r="N209" s="1055"/>
      <c r="O209" s="1055"/>
      <c r="P209" s="1115" t="str">
        <f t="shared" si="13"/>
        <v/>
      </c>
      <c r="Q209" s="1055"/>
      <c r="R209" s="1055"/>
      <c r="S209" s="1115" t="str">
        <f t="shared" si="14"/>
        <v/>
      </c>
      <c r="T209" s="1054"/>
      <c r="U209" s="1055"/>
      <c r="V209" s="1253" t="str">
        <f t="shared" si="15"/>
        <v/>
      </c>
      <c r="W209" s="1048"/>
      <c r="X209" s="1048"/>
      <c r="Y209" s="1048"/>
      <c r="Z209" s="1048"/>
      <c r="AA209" s="1048"/>
      <c r="AB209" s="1048"/>
      <c r="AC209" s="1048"/>
      <c r="AD209" s="1048"/>
      <c r="AE209" s="1048"/>
      <c r="AF209" s="1048"/>
      <c r="AG209" s="1048"/>
      <c r="AH209" s="1048"/>
      <c r="AI209" s="1048"/>
      <c r="AJ209" s="1048"/>
      <c r="AK209" s="1048"/>
      <c r="AL209" s="1048"/>
      <c r="AM209" s="1048"/>
      <c r="AN209" s="1048"/>
      <c r="AO209" s="1048"/>
      <c r="AP209" s="1048"/>
      <c r="AQ209" s="1048"/>
    </row>
    <row r="210" spans="2:43" x14ac:dyDescent="0.25">
      <c r="B210" s="1064"/>
      <c r="C210" s="1065"/>
      <c r="D210" s="1064"/>
      <c r="E210" s="1067"/>
      <c r="F210" s="1067"/>
      <c r="G210" s="1052"/>
      <c r="H210" s="1055"/>
      <c r="I210" s="1055"/>
      <c r="J210" s="1114" t="str">
        <f t="shared" si="11"/>
        <v/>
      </c>
      <c r="K210" s="1055"/>
      <c r="L210" s="1055"/>
      <c r="M210" s="1115" t="str">
        <f t="shared" si="12"/>
        <v/>
      </c>
      <c r="N210" s="1055"/>
      <c r="O210" s="1055"/>
      <c r="P210" s="1115" t="str">
        <f t="shared" si="13"/>
        <v/>
      </c>
      <c r="Q210" s="1055"/>
      <c r="R210" s="1055"/>
      <c r="S210" s="1115" t="str">
        <f t="shared" si="14"/>
        <v/>
      </c>
      <c r="T210" s="1054"/>
      <c r="U210" s="1055"/>
      <c r="V210" s="1253" t="str">
        <f t="shared" si="15"/>
        <v/>
      </c>
      <c r="W210" s="1048"/>
      <c r="X210" s="1048"/>
      <c r="Y210" s="1048"/>
      <c r="Z210" s="1048"/>
      <c r="AA210" s="1048"/>
      <c r="AB210" s="1048"/>
      <c r="AC210" s="1048"/>
      <c r="AD210" s="1048"/>
      <c r="AE210" s="1048"/>
      <c r="AF210" s="1048"/>
      <c r="AG210" s="1048"/>
      <c r="AH210" s="1048"/>
      <c r="AI210" s="1048"/>
      <c r="AJ210" s="1048"/>
      <c r="AK210" s="1048"/>
      <c r="AL210" s="1048"/>
      <c r="AM210" s="1048"/>
      <c r="AN210" s="1048"/>
      <c r="AO210" s="1048"/>
      <c r="AP210" s="1048"/>
      <c r="AQ210" s="1048"/>
    </row>
    <row r="211" spans="2:43" x14ac:dyDescent="0.25">
      <c r="B211" s="1064"/>
      <c r="C211" s="1065"/>
      <c r="D211" s="1064"/>
      <c r="E211" s="1067"/>
      <c r="F211" s="1067"/>
      <c r="G211" s="1052"/>
      <c r="H211" s="1055"/>
      <c r="I211" s="1055"/>
      <c r="J211" s="1114" t="str">
        <f t="shared" si="11"/>
        <v/>
      </c>
      <c r="K211" s="1055"/>
      <c r="L211" s="1055"/>
      <c r="M211" s="1115" t="str">
        <f t="shared" si="12"/>
        <v/>
      </c>
      <c r="N211" s="1055"/>
      <c r="O211" s="1055"/>
      <c r="P211" s="1115" t="str">
        <f t="shared" si="13"/>
        <v/>
      </c>
      <c r="Q211" s="1055"/>
      <c r="R211" s="1055"/>
      <c r="S211" s="1115" t="str">
        <f t="shared" si="14"/>
        <v/>
      </c>
      <c r="T211" s="1054"/>
      <c r="U211" s="1055"/>
      <c r="V211" s="1253" t="str">
        <f t="shared" si="15"/>
        <v/>
      </c>
      <c r="W211" s="1048"/>
      <c r="X211" s="1048"/>
      <c r="Y211" s="1048"/>
      <c r="Z211" s="1048"/>
      <c r="AA211" s="1048"/>
      <c r="AB211" s="1048"/>
      <c r="AC211" s="1048"/>
      <c r="AD211" s="1048"/>
      <c r="AE211" s="1048"/>
      <c r="AF211" s="1048"/>
      <c r="AG211" s="1048"/>
      <c r="AH211" s="1048"/>
      <c r="AI211" s="1048"/>
      <c r="AJ211" s="1048"/>
      <c r="AK211" s="1048"/>
      <c r="AL211" s="1048"/>
      <c r="AM211" s="1048"/>
      <c r="AN211" s="1048"/>
      <c r="AO211" s="1048"/>
      <c r="AP211" s="1048"/>
      <c r="AQ211" s="1048"/>
    </row>
    <row r="212" spans="2:43" x14ac:dyDescent="0.25">
      <c r="B212" s="1064"/>
      <c r="C212" s="1065"/>
      <c r="D212" s="1064"/>
      <c r="E212" s="1067"/>
      <c r="F212" s="1067"/>
      <c r="G212" s="1052"/>
      <c r="H212" s="1055"/>
      <c r="I212" s="1055"/>
      <c r="J212" s="1114" t="str">
        <f t="shared" si="11"/>
        <v/>
      </c>
      <c r="K212" s="1055"/>
      <c r="L212" s="1055"/>
      <c r="M212" s="1115" t="str">
        <f t="shared" si="12"/>
        <v/>
      </c>
      <c r="N212" s="1055"/>
      <c r="O212" s="1055"/>
      <c r="P212" s="1115" t="str">
        <f t="shared" si="13"/>
        <v/>
      </c>
      <c r="Q212" s="1055"/>
      <c r="R212" s="1055"/>
      <c r="S212" s="1115" t="str">
        <f t="shared" si="14"/>
        <v/>
      </c>
      <c r="T212" s="1054"/>
      <c r="U212" s="1055"/>
      <c r="V212" s="1253" t="str">
        <f t="shared" si="15"/>
        <v/>
      </c>
      <c r="W212" s="1048"/>
      <c r="X212" s="1048"/>
      <c r="Y212" s="1048"/>
      <c r="Z212" s="1048"/>
      <c r="AA212" s="1048"/>
      <c r="AB212" s="1048"/>
      <c r="AC212" s="1048"/>
      <c r="AD212" s="1048"/>
      <c r="AE212" s="1048"/>
      <c r="AF212" s="1048"/>
      <c r="AG212" s="1048"/>
      <c r="AH212" s="1048"/>
      <c r="AI212" s="1048"/>
      <c r="AJ212" s="1048"/>
      <c r="AK212" s="1048"/>
      <c r="AL212" s="1048"/>
      <c r="AM212" s="1048"/>
      <c r="AN212" s="1048"/>
      <c r="AO212" s="1048"/>
      <c r="AP212" s="1048"/>
      <c r="AQ212" s="1048"/>
    </row>
    <row r="213" spans="2:43" x14ac:dyDescent="0.25">
      <c r="B213" s="1064"/>
      <c r="C213" s="1065"/>
      <c r="D213" s="1064"/>
      <c r="E213" s="1067"/>
      <c r="F213" s="1067"/>
      <c r="G213" s="1052"/>
      <c r="H213" s="1055"/>
      <c r="I213" s="1055"/>
      <c r="J213" s="1114" t="str">
        <f t="shared" si="11"/>
        <v/>
      </c>
      <c r="K213" s="1055"/>
      <c r="L213" s="1055"/>
      <c r="M213" s="1115" t="str">
        <f t="shared" si="12"/>
        <v/>
      </c>
      <c r="N213" s="1055"/>
      <c r="O213" s="1055"/>
      <c r="P213" s="1115" t="str">
        <f t="shared" si="13"/>
        <v/>
      </c>
      <c r="Q213" s="1055"/>
      <c r="R213" s="1055"/>
      <c r="S213" s="1115" t="str">
        <f t="shared" si="14"/>
        <v/>
      </c>
      <c r="T213" s="1054"/>
      <c r="U213" s="1055"/>
      <c r="V213" s="1253" t="str">
        <f t="shared" si="15"/>
        <v/>
      </c>
      <c r="W213" s="1048"/>
      <c r="X213" s="1048"/>
      <c r="Y213" s="1048"/>
      <c r="Z213" s="1048"/>
      <c r="AA213" s="1048"/>
      <c r="AB213" s="1048"/>
      <c r="AC213" s="1048"/>
      <c r="AD213" s="1048"/>
      <c r="AE213" s="1048"/>
      <c r="AF213" s="1048"/>
      <c r="AG213" s="1048"/>
      <c r="AH213" s="1048"/>
      <c r="AI213" s="1048"/>
      <c r="AJ213" s="1048"/>
      <c r="AK213" s="1048"/>
      <c r="AL213" s="1048"/>
      <c r="AM213" s="1048"/>
      <c r="AN213" s="1048"/>
      <c r="AO213" s="1048"/>
      <c r="AP213" s="1048"/>
      <c r="AQ213" s="1048"/>
    </row>
    <row r="214" spans="2:43" x14ac:dyDescent="0.25">
      <c r="B214" s="1064"/>
      <c r="C214" s="1065"/>
      <c r="D214" s="1064"/>
      <c r="E214" s="1067"/>
      <c r="F214" s="1067"/>
      <c r="G214" s="1052"/>
      <c r="H214" s="1055"/>
      <c r="I214" s="1055"/>
      <c r="J214" s="1114" t="str">
        <f t="shared" si="11"/>
        <v/>
      </c>
      <c r="K214" s="1055"/>
      <c r="L214" s="1055"/>
      <c r="M214" s="1115" t="str">
        <f t="shared" si="12"/>
        <v/>
      </c>
      <c r="N214" s="1055"/>
      <c r="O214" s="1055"/>
      <c r="P214" s="1115" t="str">
        <f t="shared" si="13"/>
        <v/>
      </c>
      <c r="Q214" s="1055"/>
      <c r="R214" s="1055"/>
      <c r="S214" s="1115" t="str">
        <f t="shared" si="14"/>
        <v/>
      </c>
      <c r="T214" s="1054"/>
      <c r="U214" s="1055"/>
      <c r="V214" s="1253" t="str">
        <f t="shared" si="15"/>
        <v/>
      </c>
      <c r="W214" s="1048"/>
      <c r="X214" s="1048"/>
      <c r="Y214" s="1048"/>
      <c r="Z214" s="1048"/>
      <c r="AA214" s="1048"/>
      <c r="AB214" s="1048"/>
      <c r="AC214" s="1048"/>
      <c r="AD214" s="1048"/>
      <c r="AE214" s="1048"/>
      <c r="AF214" s="1048"/>
      <c r="AG214" s="1048"/>
      <c r="AH214" s="1048"/>
      <c r="AI214" s="1048"/>
      <c r="AJ214" s="1048"/>
      <c r="AK214" s="1048"/>
      <c r="AL214" s="1048"/>
      <c r="AM214" s="1048"/>
      <c r="AN214" s="1048"/>
      <c r="AO214" s="1048"/>
      <c r="AP214" s="1048"/>
      <c r="AQ214" s="1048"/>
    </row>
    <row r="215" spans="2:43" x14ac:dyDescent="0.25">
      <c r="B215" s="1064"/>
      <c r="C215" s="1065"/>
      <c r="D215" s="1064"/>
      <c r="E215" s="1067"/>
      <c r="F215" s="1067"/>
      <c r="G215" s="1052"/>
      <c r="H215" s="1055"/>
      <c r="I215" s="1055"/>
      <c r="J215" s="1114" t="str">
        <f t="shared" si="11"/>
        <v/>
      </c>
      <c r="K215" s="1055"/>
      <c r="L215" s="1055"/>
      <c r="M215" s="1115" t="str">
        <f t="shared" si="12"/>
        <v/>
      </c>
      <c r="N215" s="1055"/>
      <c r="O215" s="1055"/>
      <c r="P215" s="1115" t="str">
        <f t="shared" si="13"/>
        <v/>
      </c>
      <c r="Q215" s="1055"/>
      <c r="R215" s="1055"/>
      <c r="S215" s="1115" t="str">
        <f t="shared" si="14"/>
        <v/>
      </c>
      <c r="T215" s="1054"/>
      <c r="U215" s="1055"/>
      <c r="V215" s="1253" t="str">
        <f t="shared" si="15"/>
        <v/>
      </c>
      <c r="W215" s="1048"/>
      <c r="X215" s="1048"/>
      <c r="Y215" s="1048"/>
      <c r="Z215" s="1048"/>
      <c r="AA215" s="1048"/>
      <c r="AB215" s="1048"/>
      <c r="AC215" s="1048"/>
      <c r="AD215" s="1048"/>
      <c r="AE215" s="1048"/>
      <c r="AF215" s="1048"/>
      <c r="AG215" s="1048"/>
      <c r="AH215" s="1048"/>
      <c r="AI215" s="1048"/>
      <c r="AJ215" s="1048"/>
      <c r="AK215" s="1048"/>
      <c r="AL215" s="1048"/>
      <c r="AM215" s="1048"/>
      <c r="AN215" s="1048"/>
      <c r="AO215" s="1048"/>
      <c r="AP215" s="1048"/>
      <c r="AQ215" s="1048"/>
    </row>
    <row r="216" spans="2:43" x14ac:dyDescent="0.25">
      <c r="B216" s="1064"/>
      <c r="C216" s="1065"/>
      <c r="D216" s="1064"/>
      <c r="E216" s="1067"/>
      <c r="F216" s="1067"/>
      <c r="G216" s="1052"/>
      <c r="H216" s="1055"/>
      <c r="I216" s="1055"/>
      <c r="J216" s="1114" t="str">
        <f t="shared" si="11"/>
        <v/>
      </c>
      <c r="K216" s="1055"/>
      <c r="L216" s="1055"/>
      <c r="M216" s="1115" t="str">
        <f t="shared" si="12"/>
        <v/>
      </c>
      <c r="N216" s="1055"/>
      <c r="O216" s="1055"/>
      <c r="P216" s="1115" t="str">
        <f t="shared" si="13"/>
        <v/>
      </c>
      <c r="Q216" s="1055"/>
      <c r="R216" s="1055"/>
      <c r="S216" s="1115" t="str">
        <f t="shared" si="14"/>
        <v/>
      </c>
      <c r="T216" s="1054"/>
      <c r="U216" s="1055"/>
      <c r="V216" s="1253" t="str">
        <f t="shared" si="15"/>
        <v/>
      </c>
      <c r="W216" s="1048"/>
      <c r="X216" s="1048"/>
      <c r="Y216" s="1048"/>
      <c r="Z216" s="1048"/>
      <c r="AA216" s="1048"/>
      <c r="AB216" s="1048"/>
      <c r="AC216" s="1048"/>
      <c r="AD216" s="1048"/>
      <c r="AE216" s="1048"/>
      <c r="AF216" s="1048"/>
      <c r="AG216" s="1048"/>
      <c r="AH216" s="1048"/>
      <c r="AI216" s="1048"/>
      <c r="AJ216" s="1048"/>
      <c r="AK216" s="1048"/>
      <c r="AL216" s="1048"/>
      <c r="AM216" s="1048"/>
      <c r="AN216" s="1048"/>
      <c r="AO216" s="1048"/>
      <c r="AP216" s="1048"/>
      <c r="AQ216" s="1048"/>
    </row>
    <row r="217" spans="2:43" x14ac:dyDescent="0.25">
      <c r="B217" s="1064"/>
      <c r="C217" s="1065"/>
      <c r="D217" s="1064"/>
      <c r="E217" s="1067"/>
      <c r="F217" s="1067"/>
      <c r="G217" s="1052"/>
      <c r="H217" s="1055"/>
      <c r="I217" s="1055"/>
      <c r="J217" s="1114" t="str">
        <f t="shared" si="11"/>
        <v/>
      </c>
      <c r="K217" s="1055"/>
      <c r="L217" s="1055"/>
      <c r="M217" s="1115" t="str">
        <f t="shared" si="12"/>
        <v/>
      </c>
      <c r="N217" s="1055"/>
      <c r="O217" s="1055"/>
      <c r="P217" s="1115" t="str">
        <f t="shared" si="13"/>
        <v/>
      </c>
      <c r="Q217" s="1055"/>
      <c r="R217" s="1055"/>
      <c r="S217" s="1115" t="str">
        <f t="shared" si="14"/>
        <v/>
      </c>
      <c r="T217" s="1054"/>
      <c r="U217" s="1055"/>
      <c r="V217" s="1253" t="str">
        <f t="shared" si="15"/>
        <v/>
      </c>
      <c r="W217" s="1048"/>
      <c r="X217" s="1048"/>
      <c r="Y217" s="1048"/>
      <c r="Z217" s="1048"/>
      <c r="AA217" s="1048"/>
      <c r="AB217" s="1048"/>
      <c r="AC217" s="1048"/>
      <c r="AD217" s="1048"/>
      <c r="AE217" s="1048"/>
      <c r="AF217" s="1048"/>
      <c r="AG217" s="1048"/>
      <c r="AH217" s="1048"/>
      <c r="AI217" s="1048"/>
      <c r="AJ217" s="1048"/>
      <c r="AK217" s="1048"/>
      <c r="AL217" s="1048"/>
      <c r="AM217" s="1048"/>
      <c r="AN217" s="1048"/>
      <c r="AO217" s="1048"/>
      <c r="AP217" s="1048"/>
      <c r="AQ217" s="1048"/>
    </row>
    <row r="218" spans="2:43" x14ac:dyDescent="0.25">
      <c r="B218" s="1064"/>
      <c r="C218" s="1065"/>
      <c r="D218" s="1064"/>
      <c r="E218" s="1067"/>
      <c r="F218" s="1067"/>
      <c r="G218" s="1052"/>
      <c r="H218" s="1055"/>
      <c r="I218" s="1055"/>
      <c r="J218" s="1114" t="str">
        <f t="shared" ref="J218:J281" si="16">IF(AND(H218=0,I218=0),"",IF(I218&lt;&gt;0,IF(I218&gt;H218,100,I218/H218*100),0))</f>
        <v/>
      </c>
      <c r="K218" s="1055"/>
      <c r="L218" s="1055"/>
      <c r="M218" s="1115" t="str">
        <f t="shared" ref="M218:M281" si="17">IF(AND(K218=0,L218=0),"",IF(L218&lt;&gt;0,IF(L218&gt;K218,100,L218/K218*100),0))</f>
        <v/>
      </c>
      <c r="N218" s="1055"/>
      <c r="O218" s="1055"/>
      <c r="P218" s="1115" t="str">
        <f t="shared" ref="P218:P281" si="18">IF(AND(N218=0,O218=0),"",IF(O218&lt;&gt;0,IF(O218&gt;N218,100,O218/N218*100),0))</f>
        <v/>
      </c>
      <c r="Q218" s="1055"/>
      <c r="R218" s="1055"/>
      <c r="S218" s="1115" t="str">
        <f t="shared" ref="S218:S281" si="19">IF(AND(Q218=0,R218=0),"",IF(R218&lt;&gt;0,IF(R218&lt;=Q218,100,100-(R218-Q218)),0))</f>
        <v/>
      </c>
      <c r="T218" s="1054"/>
      <c r="U218" s="1055"/>
      <c r="V218" s="1253" t="str">
        <f t="shared" ref="V218:V281" si="20">IF(AND(T218=0,U218=0),"",IF(U218&lt;&gt;0,IF(U218&gt;T218,100,U218/T218*100),0))</f>
        <v/>
      </c>
      <c r="W218" s="1048"/>
      <c r="X218" s="1048"/>
      <c r="Y218" s="1048"/>
      <c r="Z218" s="1048"/>
      <c r="AA218" s="1048"/>
      <c r="AB218" s="1048"/>
      <c r="AC218" s="1048"/>
      <c r="AD218" s="1048"/>
      <c r="AE218" s="1048"/>
      <c r="AF218" s="1048"/>
      <c r="AG218" s="1048"/>
      <c r="AH218" s="1048"/>
      <c r="AI218" s="1048"/>
      <c r="AJ218" s="1048"/>
      <c r="AK218" s="1048"/>
      <c r="AL218" s="1048"/>
      <c r="AM218" s="1048"/>
      <c r="AN218" s="1048"/>
      <c r="AO218" s="1048"/>
      <c r="AP218" s="1048"/>
      <c r="AQ218" s="1048"/>
    </row>
    <row r="219" spans="2:43" x14ac:dyDescent="0.25">
      <c r="B219" s="1064"/>
      <c r="C219" s="1065"/>
      <c r="D219" s="1064"/>
      <c r="E219" s="1067"/>
      <c r="F219" s="1067"/>
      <c r="G219" s="1052"/>
      <c r="H219" s="1055"/>
      <c r="I219" s="1055"/>
      <c r="J219" s="1114" t="str">
        <f t="shared" si="16"/>
        <v/>
      </c>
      <c r="K219" s="1055"/>
      <c r="L219" s="1055"/>
      <c r="M219" s="1115" t="str">
        <f t="shared" si="17"/>
        <v/>
      </c>
      <c r="N219" s="1055"/>
      <c r="O219" s="1055"/>
      <c r="P219" s="1115" t="str">
        <f t="shared" si="18"/>
        <v/>
      </c>
      <c r="Q219" s="1055"/>
      <c r="R219" s="1055"/>
      <c r="S219" s="1115" t="str">
        <f t="shared" si="19"/>
        <v/>
      </c>
      <c r="T219" s="1054"/>
      <c r="U219" s="1055"/>
      <c r="V219" s="1253" t="str">
        <f t="shared" si="20"/>
        <v/>
      </c>
      <c r="W219" s="1048"/>
      <c r="X219" s="1048"/>
      <c r="Y219" s="1048"/>
      <c r="Z219" s="1048"/>
      <c r="AA219" s="1048"/>
      <c r="AB219" s="1048"/>
      <c r="AC219" s="1048"/>
      <c r="AD219" s="1048"/>
      <c r="AE219" s="1048"/>
      <c r="AF219" s="1048"/>
      <c r="AG219" s="1048"/>
      <c r="AH219" s="1048"/>
      <c r="AI219" s="1048"/>
      <c r="AJ219" s="1048"/>
      <c r="AK219" s="1048"/>
      <c r="AL219" s="1048"/>
      <c r="AM219" s="1048"/>
      <c r="AN219" s="1048"/>
      <c r="AO219" s="1048"/>
      <c r="AP219" s="1048"/>
      <c r="AQ219" s="1048"/>
    </row>
    <row r="220" spans="2:43" x14ac:dyDescent="0.25">
      <c r="B220" s="1064"/>
      <c r="C220" s="1065"/>
      <c r="D220" s="1064"/>
      <c r="E220" s="1067"/>
      <c r="F220" s="1067"/>
      <c r="G220" s="1052"/>
      <c r="H220" s="1055"/>
      <c r="I220" s="1055"/>
      <c r="J220" s="1114" t="str">
        <f t="shared" si="16"/>
        <v/>
      </c>
      <c r="K220" s="1055"/>
      <c r="L220" s="1055"/>
      <c r="M220" s="1115" t="str">
        <f t="shared" si="17"/>
        <v/>
      </c>
      <c r="N220" s="1055"/>
      <c r="O220" s="1055"/>
      <c r="P220" s="1115" t="str">
        <f t="shared" si="18"/>
        <v/>
      </c>
      <c r="Q220" s="1055"/>
      <c r="R220" s="1055"/>
      <c r="S220" s="1115" t="str">
        <f t="shared" si="19"/>
        <v/>
      </c>
      <c r="T220" s="1054"/>
      <c r="U220" s="1055"/>
      <c r="V220" s="1253" t="str">
        <f t="shared" si="20"/>
        <v/>
      </c>
      <c r="W220" s="1048"/>
      <c r="X220" s="1048"/>
      <c r="Y220" s="1048"/>
      <c r="Z220" s="1048"/>
      <c r="AA220" s="1048"/>
      <c r="AB220" s="1048"/>
      <c r="AC220" s="1048"/>
      <c r="AD220" s="1048"/>
      <c r="AE220" s="1048"/>
      <c r="AF220" s="1048"/>
      <c r="AG220" s="1048"/>
      <c r="AH220" s="1048"/>
      <c r="AI220" s="1048"/>
      <c r="AJ220" s="1048"/>
      <c r="AK220" s="1048"/>
      <c r="AL220" s="1048"/>
      <c r="AM220" s="1048"/>
      <c r="AN220" s="1048"/>
      <c r="AO220" s="1048"/>
      <c r="AP220" s="1048"/>
      <c r="AQ220" s="1048"/>
    </row>
    <row r="221" spans="2:43" x14ac:dyDescent="0.25">
      <c r="B221" s="1064"/>
      <c r="C221" s="1065"/>
      <c r="D221" s="1064"/>
      <c r="E221" s="1067"/>
      <c r="F221" s="1067"/>
      <c r="G221" s="1052"/>
      <c r="H221" s="1055"/>
      <c r="I221" s="1055"/>
      <c r="J221" s="1114" t="str">
        <f t="shared" si="16"/>
        <v/>
      </c>
      <c r="K221" s="1055"/>
      <c r="L221" s="1055"/>
      <c r="M221" s="1115" t="str">
        <f t="shared" si="17"/>
        <v/>
      </c>
      <c r="N221" s="1055"/>
      <c r="O221" s="1055"/>
      <c r="P221" s="1115" t="str">
        <f t="shared" si="18"/>
        <v/>
      </c>
      <c r="Q221" s="1055"/>
      <c r="R221" s="1055"/>
      <c r="S221" s="1115" t="str">
        <f t="shared" si="19"/>
        <v/>
      </c>
      <c r="T221" s="1054"/>
      <c r="U221" s="1055"/>
      <c r="V221" s="1253" t="str">
        <f t="shared" si="20"/>
        <v/>
      </c>
      <c r="W221" s="1048"/>
      <c r="X221" s="1048"/>
      <c r="Y221" s="1048"/>
      <c r="Z221" s="1048"/>
      <c r="AA221" s="1048"/>
      <c r="AB221" s="1048"/>
      <c r="AC221" s="1048"/>
      <c r="AD221" s="1048"/>
      <c r="AE221" s="1048"/>
      <c r="AF221" s="1048"/>
      <c r="AG221" s="1048"/>
      <c r="AH221" s="1048"/>
      <c r="AI221" s="1048"/>
      <c r="AJ221" s="1048"/>
      <c r="AK221" s="1048"/>
      <c r="AL221" s="1048"/>
      <c r="AM221" s="1048"/>
      <c r="AN221" s="1048"/>
      <c r="AO221" s="1048"/>
      <c r="AP221" s="1048"/>
      <c r="AQ221" s="1048"/>
    </row>
    <row r="222" spans="2:43" x14ac:dyDescent="0.25">
      <c r="B222" s="1064"/>
      <c r="C222" s="1065"/>
      <c r="D222" s="1064"/>
      <c r="E222" s="1067"/>
      <c r="F222" s="1067"/>
      <c r="G222" s="1052"/>
      <c r="H222" s="1055"/>
      <c r="I222" s="1055"/>
      <c r="J222" s="1114" t="str">
        <f t="shared" si="16"/>
        <v/>
      </c>
      <c r="K222" s="1055"/>
      <c r="L222" s="1055"/>
      <c r="M222" s="1115" t="str">
        <f t="shared" si="17"/>
        <v/>
      </c>
      <c r="N222" s="1055"/>
      <c r="O222" s="1055"/>
      <c r="P222" s="1115" t="str">
        <f t="shared" si="18"/>
        <v/>
      </c>
      <c r="Q222" s="1055"/>
      <c r="R222" s="1055"/>
      <c r="S222" s="1115" t="str">
        <f t="shared" si="19"/>
        <v/>
      </c>
      <c r="T222" s="1054"/>
      <c r="U222" s="1055"/>
      <c r="V222" s="1253" t="str">
        <f t="shared" si="20"/>
        <v/>
      </c>
      <c r="W222" s="1048"/>
      <c r="X222" s="1048"/>
      <c r="Y222" s="1048"/>
      <c r="Z222" s="1048"/>
      <c r="AA222" s="1048"/>
      <c r="AB222" s="1048"/>
      <c r="AC222" s="1048"/>
      <c r="AD222" s="1048"/>
      <c r="AE222" s="1048"/>
      <c r="AF222" s="1048"/>
      <c r="AG222" s="1048"/>
      <c r="AH222" s="1048"/>
      <c r="AI222" s="1048"/>
      <c r="AJ222" s="1048"/>
      <c r="AK222" s="1048"/>
      <c r="AL222" s="1048"/>
      <c r="AM222" s="1048"/>
      <c r="AN222" s="1048"/>
      <c r="AO222" s="1048"/>
      <c r="AP222" s="1048"/>
      <c r="AQ222" s="1048"/>
    </row>
    <row r="223" spans="2:43" x14ac:dyDescent="0.25">
      <c r="B223" s="1064"/>
      <c r="C223" s="1065"/>
      <c r="D223" s="1064"/>
      <c r="E223" s="1067"/>
      <c r="F223" s="1067"/>
      <c r="G223" s="1052"/>
      <c r="H223" s="1055"/>
      <c r="I223" s="1055"/>
      <c r="J223" s="1114" t="str">
        <f t="shared" si="16"/>
        <v/>
      </c>
      <c r="K223" s="1055"/>
      <c r="L223" s="1055"/>
      <c r="M223" s="1115" t="str">
        <f t="shared" si="17"/>
        <v/>
      </c>
      <c r="N223" s="1055"/>
      <c r="O223" s="1055"/>
      <c r="P223" s="1115" t="str">
        <f t="shared" si="18"/>
        <v/>
      </c>
      <c r="Q223" s="1055"/>
      <c r="R223" s="1055"/>
      <c r="S223" s="1115" t="str">
        <f t="shared" si="19"/>
        <v/>
      </c>
      <c r="T223" s="1054"/>
      <c r="U223" s="1055"/>
      <c r="V223" s="1253" t="str">
        <f t="shared" si="20"/>
        <v/>
      </c>
      <c r="W223" s="1048"/>
      <c r="X223" s="1048"/>
      <c r="Y223" s="1048"/>
      <c r="Z223" s="1048"/>
      <c r="AA223" s="1048"/>
      <c r="AB223" s="1048"/>
      <c r="AC223" s="1048"/>
      <c r="AD223" s="1048"/>
      <c r="AE223" s="1048"/>
      <c r="AF223" s="1048"/>
      <c r="AG223" s="1048"/>
      <c r="AH223" s="1048"/>
      <c r="AI223" s="1048"/>
      <c r="AJ223" s="1048"/>
      <c r="AK223" s="1048"/>
      <c r="AL223" s="1048"/>
      <c r="AM223" s="1048"/>
      <c r="AN223" s="1048"/>
      <c r="AO223" s="1048"/>
      <c r="AP223" s="1048"/>
      <c r="AQ223" s="1048"/>
    </row>
    <row r="224" spans="2:43" x14ac:dyDescent="0.25">
      <c r="B224" s="1064"/>
      <c r="C224" s="1065"/>
      <c r="D224" s="1064"/>
      <c r="E224" s="1067"/>
      <c r="F224" s="1067"/>
      <c r="G224" s="1052"/>
      <c r="H224" s="1055"/>
      <c r="I224" s="1055"/>
      <c r="J224" s="1114" t="str">
        <f t="shared" si="16"/>
        <v/>
      </c>
      <c r="K224" s="1055"/>
      <c r="L224" s="1055"/>
      <c r="M224" s="1115" t="str">
        <f t="shared" si="17"/>
        <v/>
      </c>
      <c r="N224" s="1055"/>
      <c r="O224" s="1055"/>
      <c r="P224" s="1115" t="str">
        <f t="shared" si="18"/>
        <v/>
      </c>
      <c r="Q224" s="1055"/>
      <c r="R224" s="1055"/>
      <c r="S224" s="1115" t="str">
        <f t="shared" si="19"/>
        <v/>
      </c>
      <c r="T224" s="1054"/>
      <c r="U224" s="1055"/>
      <c r="V224" s="1253" t="str">
        <f t="shared" si="20"/>
        <v/>
      </c>
      <c r="W224" s="1048"/>
      <c r="X224" s="1048"/>
      <c r="Y224" s="1048"/>
      <c r="Z224" s="1048"/>
      <c r="AA224" s="1048"/>
      <c r="AB224" s="1048"/>
      <c r="AC224" s="1048"/>
      <c r="AD224" s="1048"/>
      <c r="AE224" s="1048"/>
      <c r="AF224" s="1048"/>
      <c r="AG224" s="1048"/>
      <c r="AH224" s="1048"/>
      <c r="AI224" s="1048"/>
      <c r="AJ224" s="1048"/>
      <c r="AK224" s="1048"/>
      <c r="AL224" s="1048"/>
      <c r="AM224" s="1048"/>
      <c r="AN224" s="1048"/>
      <c r="AO224" s="1048"/>
      <c r="AP224" s="1048"/>
      <c r="AQ224" s="1048"/>
    </row>
    <row r="225" spans="2:43" x14ac:dyDescent="0.25">
      <c r="B225" s="1064"/>
      <c r="C225" s="1065"/>
      <c r="D225" s="1064"/>
      <c r="E225" s="1067"/>
      <c r="F225" s="1067"/>
      <c r="G225" s="1052"/>
      <c r="H225" s="1055"/>
      <c r="I225" s="1055"/>
      <c r="J225" s="1114" t="str">
        <f t="shared" si="16"/>
        <v/>
      </c>
      <c r="K225" s="1055"/>
      <c r="L225" s="1055"/>
      <c r="M225" s="1115" t="str">
        <f t="shared" si="17"/>
        <v/>
      </c>
      <c r="N225" s="1055"/>
      <c r="O225" s="1055"/>
      <c r="P225" s="1115" t="str">
        <f t="shared" si="18"/>
        <v/>
      </c>
      <c r="Q225" s="1055"/>
      <c r="R225" s="1055"/>
      <c r="S225" s="1115" t="str">
        <f t="shared" si="19"/>
        <v/>
      </c>
      <c r="T225" s="1054"/>
      <c r="U225" s="1055"/>
      <c r="V225" s="1253" t="str">
        <f t="shared" si="20"/>
        <v/>
      </c>
      <c r="W225" s="1048"/>
      <c r="X225" s="1048"/>
      <c r="Y225" s="1048"/>
      <c r="Z225" s="1048"/>
      <c r="AA225" s="1048"/>
      <c r="AB225" s="1048"/>
      <c r="AC225" s="1048"/>
      <c r="AD225" s="1048"/>
      <c r="AE225" s="1048"/>
      <c r="AF225" s="1048"/>
      <c r="AG225" s="1048"/>
      <c r="AH225" s="1048"/>
      <c r="AI225" s="1048"/>
      <c r="AJ225" s="1048"/>
      <c r="AK225" s="1048"/>
      <c r="AL225" s="1048"/>
      <c r="AM225" s="1048"/>
      <c r="AN225" s="1048"/>
      <c r="AO225" s="1048"/>
      <c r="AP225" s="1048"/>
      <c r="AQ225" s="1048"/>
    </row>
    <row r="226" spans="2:43" x14ac:dyDescent="0.25">
      <c r="B226" s="1064"/>
      <c r="C226" s="1065"/>
      <c r="D226" s="1064"/>
      <c r="E226" s="1067"/>
      <c r="F226" s="1067"/>
      <c r="G226" s="1052"/>
      <c r="H226" s="1055"/>
      <c r="I226" s="1055"/>
      <c r="J226" s="1114" t="str">
        <f t="shared" si="16"/>
        <v/>
      </c>
      <c r="K226" s="1055"/>
      <c r="L226" s="1055"/>
      <c r="M226" s="1115" t="str">
        <f t="shared" si="17"/>
        <v/>
      </c>
      <c r="N226" s="1055"/>
      <c r="O226" s="1055"/>
      <c r="P226" s="1115" t="str">
        <f t="shared" si="18"/>
        <v/>
      </c>
      <c r="Q226" s="1055"/>
      <c r="R226" s="1055"/>
      <c r="S226" s="1115" t="str">
        <f t="shared" si="19"/>
        <v/>
      </c>
      <c r="T226" s="1054"/>
      <c r="U226" s="1055"/>
      <c r="V226" s="1253" t="str">
        <f t="shared" si="20"/>
        <v/>
      </c>
      <c r="W226" s="1048"/>
      <c r="X226" s="1048"/>
      <c r="Y226" s="1048"/>
      <c r="Z226" s="1048"/>
      <c r="AA226" s="1048"/>
      <c r="AB226" s="1048"/>
      <c r="AC226" s="1048"/>
      <c r="AD226" s="1048"/>
      <c r="AE226" s="1048"/>
      <c r="AF226" s="1048"/>
      <c r="AG226" s="1048"/>
      <c r="AH226" s="1048"/>
      <c r="AI226" s="1048"/>
      <c r="AJ226" s="1048"/>
      <c r="AK226" s="1048"/>
      <c r="AL226" s="1048"/>
      <c r="AM226" s="1048"/>
      <c r="AN226" s="1048"/>
      <c r="AO226" s="1048"/>
      <c r="AP226" s="1048"/>
      <c r="AQ226" s="1048"/>
    </row>
    <row r="227" spans="2:43" x14ac:dyDescent="0.25">
      <c r="B227" s="1064"/>
      <c r="C227" s="1065"/>
      <c r="D227" s="1064"/>
      <c r="E227" s="1067"/>
      <c r="F227" s="1067"/>
      <c r="G227" s="1052"/>
      <c r="H227" s="1055"/>
      <c r="I227" s="1055"/>
      <c r="J227" s="1114" t="str">
        <f t="shared" si="16"/>
        <v/>
      </c>
      <c r="K227" s="1055"/>
      <c r="L227" s="1055"/>
      <c r="M227" s="1115" t="str">
        <f t="shared" si="17"/>
        <v/>
      </c>
      <c r="N227" s="1055"/>
      <c r="O227" s="1055"/>
      <c r="P227" s="1115" t="str">
        <f t="shared" si="18"/>
        <v/>
      </c>
      <c r="Q227" s="1055"/>
      <c r="R227" s="1055"/>
      <c r="S227" s="1115" t="str">
        <f t="shared" si="19"/>
        <v/>
      </c>
      <c r="T227" s="1054"/>
      <c r="U227" s="1055"/>
      <c r="V227" s="1253" t="str">
        <f t="shared" si="20"/>
        <v/>
      </c>
      <c r="W227" s="1048"/>
      <c r="X227" s="1048"/>
      <c r="Y227" s="1048"/>
      <c r="Z227" s="1048"/>
      <c r="AA227" s="1048"/>
      <c r="AB227" s="1048"/>
      <c r="AC227" s="1048"/>
      <c r="AD227" s="1048"/>
      <c r="AE227" s="1048"/>
      <c r="AF227" s="1048"/>
      <c r="AG227" s="1048"/>
      <c r="AH227" s="1048"/>
      <c r="AI227" s="1048"/>
      <c r="AJ227" s="1048"/>
      <c r="AK227" s="1048"/>
      <c r="AL227" s="1048"/>
      <c r="AM227" s="1048"/>
      <c r="AN227" s="1048"/>
      <c r="AO227" s="1048"/>
      <c r="AP227" s="1048"/>
      <c r="AQ227" s="1048"/>
    </row>
    <row r="228" spans="2:43" x14ac:dyDescent="0.25">
      <c r="B228" s="1064"/>
      <c r="C228" s="1065"/>
      <c r="D228" s="1064"/>
      <c r="E228" s="1067"/>
      <c r="F228" s="1067"/>
      <c r="G228" s="1052"/>
      <c r="H228" s="1055"/>
      <c r="I228" s="1055"/>
      <c r="J228" s="1114" t="str">
        <f t="shared" si="16"/>
        <v/>
      </c>
      <c r="K228" s="1055"/>
      <c r="L228" s="1055"/>
      <c r="M228" s="1115" t="str">
        <f t="shared" si="17"/>
        <v/>
      </c>
      <c r="N228" s="1055"/>
      <c r="O228" s="1055"/>
      <c r="P228" s="1115" t="str">
        <f t="shared" si="18"/>
        <v/>
      </c>
      <c r="Q228" s="1055"/>
      <c r="R228" s="1055"/>
      <c r="S228" s="1115" t="str">
        <f t="shared" si="19"/>
        <v/>
      </c>
      <c r="T228" s="1054"/>
      <c r="U228" s="1055"/>
      <c r="V228" s="1253" t="str">
        <f t="shared" si="20"/>
        <v/>
      </c>
      <c r="W228" s="1048"/>
      <c r="X228" s="1048"/>
      <c r="Y228" s="1048"/>
      <c r="Z228" s="1048"/>
      <c r="AA228" s="1048"/>
      <c r="AB228" s="1048"/>
      <c r="AC228" s="1048"/>
      <c r="AD228" s="1048"/>
      <c r="AE228" s="1048"/>
      <c r="AF228" s="1048"/>
      <c r="AG228" s="1048"/>
      <c r="AH228" s="1048"/>
      <c r="AI228" s="1048"/>
      <c r="AJ228" s="1048"/>
      <c r="AK228" s="1048"/>
      <c r="AL228" s="1048"/>
      <c r="AM228" s="1048"/>
      <c r="AN228" s="1048"/>
      <c r="AO228" s="1048"/>
      <c r="AP228" s="1048"/>
      <c r="AQ228" s="1048"/>
    </row>
    <row r="229" spans="2:43" x14ac:dyDescent="0.25">
      <c r="B229" s="1064"/>
      <c r="C229" s="1065"/>
      <c r="D229" s="1064"/>
      <c r="E229" s="1067"/>
      <c r="F229" s="1067"/>
      <c r="G229" s="1052"/>
      <c r="H229" s="1055"/>
      <c r="I229" s="1055"/>
      <c r="J229" s="1114" t="str">
        <f t="shared" si="16"/>
        <v/>
      </c>
      <c r="K229" s="1055"/>
      <c r="L229" s="1055"/>
      <c r="M229" s="1115" t="str">
        <f t="shared" si="17"/>
        <v/>
      </c>
      <c r="N229" s="1055"/>
      <c r="O229" s="1055"/>
      <c r="P229" s="1115" t="str">
        <f t="shared" si="18"/>
        <v/>
      </c>
      <c r="Q229" s="1055"/>
      <c r="R229" s="1055"/>
      <c r="S229" s="1115" t="str">
        <f t="shared" si="19"/>
        <v/>
      </c>
      <c r="T229" s="1054"/>
      <c r="U229" s="1055"/>
      <c r="V229" s="1253" t="str">
        <f t="shared" si="20"/>
        <v/>
      </c>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row>
    <row r="230" spans="2:43" x14ac:dyDescent="0.25">
      <c r="B230" s="1064"/>
      <c r="C230" s="1065"/>
      <c r="D230" s="1064"/>
      <c r="E230" s="1067"/>
      <c r="F230" s="1067"/>
      <c r="G230" s="1052"/>
      <c r="H230" s="1055"/>
      <c r="I230" s="1055"/>
      <c r="J230" s="1114" t="str">
        <f t="shared" si="16"/>
        <v/>
      </c>
      <c r="K230" s="1055"/>
      <c r="L230" s="1055"/>
      <c r="M230" s="1115" t="str">
        <f t="shared" si="17"/>
        <v/>
      </c>
      <c r="N230" s="1055"/>
      <c r="O230" s="1055"/>
      <c r="P230" s="1115" t="str">
        <f t="shared" si="18"/>
        <v/>
      </c>
      <c r="Q230" s="1055"/>
      <c r="R230" s="1055"/>
      <c r="S230" s="1115" t="str">
        <f t="shared" si="19"/>
        <v/>
      </c>
      <c r="T230" s="1054"/>
      <c r="U230" s="1055"/>
      <c r="V230" s="1253" t="str">
        <f t="shared" si="20"/>
        <v/>
      </c>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row>
    <row r="231" spans="2:43" x14ac:dyDescent="0.25">
      <c r="B231" s="1064"/>
      <c r="C231" s="1065"/>
      <c r="D231" s="1064"/>
      <c r="E231" s="1067"/>
      <c r="F231" s="1067"/>
      <c r="G231" s="1052"/>
      <c r="H231" s="1055"/>
      <c r="I231" s="1055"/>
      <c r="J231" s="1114" t="str">
        <f t="shared" si="16"/>
        <v/>
      </c>
      <c r="K231" s="1055"/>
      <c r="L231" s="1055"/>
      <c r="M231" s="1115" t="str">
        <f t="shared" si="17"/>
        <v/>
      </c>
      <c r="N231" s="1055"/>
      <c r="O231" s="1055"/>
      <c r="P231" s="1115" t="str">
        <f t="shared" si="18"/>
        <v/>
      </c>
      <c r="Q231" s="1055"/>
      <c r="R231" s="1055"/>
      <c r="S231" s="1115" t="str">
        <f t="shared" si="19"/>
        <v/>
      </c>
      <c r="T231" s="1054"/>
      <c r="U231" s="1055"/>
      <c r="V231" s="1253" t="str">
        <f t="shared" si="20"/>
        <v/>
      </c>
      <c r="W231" s="1048"/>
      <c r="X231" s="1048"/>
      <c r="Y231" s="1048"/>
      <c r="Z231" s="1048"/>
      <c r="AA231" s="1048"/>
      <c r="AB231" s="1048"/>
      <c r="AC231" s="1048"/>
      <c r="AD231" s="1048"/>
      <c r="AE231" s="1048"/>
      <c r="AF231" s="1048"/>
      <c r="AG231" s="1048"/>
      <c r="AH231" s="1048"/>
      <c r="AI231" s="1048"/>
      <c r="AJ231" s="1048"/>
      <c r="AK231" s="1048"/>
      <c r="AL231" s="1048"/>
      <c r="AM231" s="1048"/>
      <c r="AN231" s="1048"/>
      <c r="AO231" s="1048"/>
      <c r="AP231" s="1048"/>
      <c r="AQ231" s="1048"/>
    </row>
    <row r="232" spans="2:43" x14ac:dyDescent="0.25">
      <c r="B232" s="1064"/>
      <c r="C232" s="1065"/>
      <c r="D232" s="1064"/>
      <c r="E232" s="1067"/>
      <c r="F232" s="1067"/>
      <c r="G232" s="1052"/>
      <c r="H232" s="1055"/>
      <c r="I232" s="1055"/>
      <c r="J232" s="1114" t="str">
        <f t="shared" si="16"/>
        <v/>
      </c>
      <c r="K232" s="1055"/>
      <c r="L232" s="1055"/>
      <c r="M232" s="1115" t="str">
        <f t="shared" si="17"/>
        <v/>
      </c>
      <c r="N232" s="1055"/>
      <c r="O232" s="1055"/>
      <c r="P232" s="1115" t="str">
        <f t="shared" si="18"/>
        <v/>
      </c>
      <c r="Q232" s="1055"/>
      <c r="R232" s="1055"/>
      <c r="S232" s="1115" t="str">
        <f t="shared" si="19"/>
        <v/>
      </c>
      <c r="T232" s="1054"/>
      <c r="U232" s="1055"/>
      <c r="V232" s="1253" t="str">
        <f t="shared" si="20"/>
        <v/>
      </c>
      <c r="W232" s="1048"/>
      <c r="X232" s="1048"/>
      <c r="Y232" s="1048"/>
      <c r="Z232" s="1048"/>
      <c r="AA232" s="1048"/>
      <c r="AB232" s="1048"/>
      <c r="AC232" s="1048"/>
      <c r="AD232" s="1048"/>
      <c r="AE232" s="1048"/>
      <c r="AF232" s="1048"/>
      <c r="AG232" s="1048"/>
      <c r="AH232" s="1048"/>
      <c r="AI232" s="1048"/>
      <c r="AJ232" s="1048"/>
      <c r="AK232" s="1048"/>
      <c r="AL232" s="1048"/>
      <c r="AM232" s="1048"/>
      <c r="AN232" s="1048"/>
      <c r="AO232" s="1048"/>
      <c r="AP232" s="1048"/>
      <c r="AQ232" s="1048"/>
    </row>
    <row r="233" spans="2:43" x14ac:dyDescent="0.25">
      <c r="B233" s="1064"/>
      <c r="C233" s="1065"/>
      <c r="D233" s="1064"/>
      <c r="E233" s="1067"/>
      <c r="F233" s="1067"/>
      <c r="G233" s="1052"/>
      <c r="H233" s="1055"/>
      <c r="I233" s="1055"/>
      <c r="J233" s="1114" t="str">
        <f t="shared" si="16"/>
        <v/>
      </c>
      <c r="K233" s="1055"/>
      <c r="L233" s="1055"/>
      <c r="M233" s="1115" t="str">
        <f t="shared" si="17"/>
        <v/>
      </c>
      <c r="N233" s="1055"/>
      <c r="O233" s="1055"/>
      <c r="P233" s="1115" t="str">
        <f t="shared" si="18"/>
        <v/>
      </c>
      <c r="Q233" s="1055"/>
      <c r="R233" s="1055"/>
      <c r="S233" s="1115" t="str">
        <f t="shared" si="19"/>
        <v/>
      </c>
      <c r="T233" s="1054"/>
      <c r="U233" s="1055"/>
      <c r="V233" s="1253" t="str">
        <f t="shared" si="20"/>
        <v/>
      </c>
      <c r="W233" s="1048"/>
      <c r="X233" s="1048"/>
      <c r="Y233" s="1048"/>
      <c r="Z233" s="1048"/>
      <c r="AA233" s="1048"/>
      <c r="AB233" s="1048"/>
      <c r="AC233" s="1048"/>
      <c r="AD233" s="1048"/>
      <c r="AE233" s="1048"/>
      <c r="AF233" s="1048"/>
      <c r="AG233" s="1048"/>
      <c r="AH233" s="1048"/>
      <c r="AI233" s="1048"/>
      <c r="AJ233" s="1048"/>
      <c r="AK233" s="1048"/>
      <c r="AL233" s="1048"/>
      <c r="AM233" s="1048"/>
      <c r="AN233" s="1048"/>
      <c r="AO233" s="1048"/>
      <c r="AP233" s="1048"/>
      <c r="AQ233" s="1048"/>
    </row>
    <row r="234" spans="2:43" x14ac:dyDescent="0.25">
      <c r="B234" s="1064"/>
      <c r="C234" s="1065"/>
      <c r="D234" s="1064"/>
      <c r="E234" s="1067"/>
      <c r="F234" s="1067"/>
      <c r="G234" s="1052"/>
      <c r="H234" s="1055"/>
      <c r="I234" s="1055"/>
      <c r="J234" s="1114" t="str">
        <f t="shared" si="16"/>
        <v/>
      </c>
      <c r="K234" s="1055"/>
      <c r="L234" s="1055"/>
      <c r="M234" s="1115" t="str">
        <f t="shared" si="17"/>
        <v/>
      </c>
      <c r="N234" s="1055"/>
      <c r="O234" s="1055"/>
      <c r="P234" s="1115" t="str">
        <f t="shared" si="18"/>
        <v/>
      </c>
      <c r="Q234" s="1055"/>
      <c r="R234" s="1055"/>
      <c r="S234" s="1115" t="str">
        <f t="shared" si="19"/>
        <v/>
      </c>
      <c r="T234" s="1054"/>
      <c r="U234" s="1055"/>
      <c r="V234" s="1253" t="str">
        <f t="shared" si="20"/>
        <v/>
      </c>
      <c r="W234" s="1048"/>
      <c r="X234" s="1048"/>
      <c r="Y234" s="1048"/>
      <c r="Z234" s="1048"/>
      <c r="AA234" s="1048"/>
      <c r="AB234" s="1048"/>
      <c r="AC234" s="1048"/>
      <c r="AD234" s="1048"/>
      <c r="AE234" s="1048"/>
      <c r="AF234" s="1048"/>
      <c r="AG234" s="1048"/>
      <c r="AH234" s="1048"/>
      <c r="AI234" s="1048"/>
      <c r="AJ234" s="1048"/>
      <c r="AK234" s="1048"/>
      <c r="AL234" s="1048"/>
      <c r="AM234" s="1048"/>
      <c r="AN234" s="1048"/>
      <c r="AO234" s="1048"/>
      <c r="AP234" s="1048"/>
      <c r="AQ234" s="1048"/>
    </row>
    <row r="235" spans="2:43" x14ac:dyDescent="0.25">
      <c r="B235" s="1064"/>
      <c r="C235" s="1065"/>
      <c r="D235" s="1064"/>
      <c r="E235" s="1067"/>
      <c r="F235" s="1067"/>
      <c r="G235" s="1052"/>
      <c r="H235" s="1055"/>
      <c r="I235" s="1055"/>
      <c r="J235" s="1114" t="str">
        <f t="shared" si="16"/>
        <v/>
      </c>
      <c r="K235" s="1055"/>
      <c r="L235" s="1055"/>
      <c r="M235" s="1115" t="str">
        <f t="shared" si="17"/>
        <v/>
      </c>
      <c r="N235" s="1055"/>
      <c r="O235" s="1055"/>
      <c r="P235" s="1115" t="str">
        <f t="shared" si="18"/>
        <v/>
      </c>
      <c r="Q235" s="1055"/>
      <c r="R235" s="1055"/>
      <c r="S235" s="1115" t="str">
        <f t="shared" si="19"/>
        <v/>
      </c>
      <c r="T235" s="1054"/>
      <c r="U235" s="1055"/>
      <c r="V235" s="1253" t="str">
        <f t="shared" si="20"/>
        <v/>
      </c>
      <c r="W235" s="1048"/>
      <c r="X235" s="1048"/>
      <c r="Y235" s="1048"/>
      <c r="Z235" s="1048"/>
      <c r="AA235" s="1048"/>
      <c r="AB235" s="1048"/>
      <c r="AC235" s="1048"/>
      <c r="AD235" s="1048"/>
      <c r="AE235" s="1048"/>
      <c r="AF235" s="1048"/>
      <c r="AG235" s="1048"/>
      <c r="AH235" s="1048"/>
      <c r="AI235" s="1048"/>
      <c r="AJ235" s="1048"/>
      <c r="AK235" s="1048"/>
      <c r="AL235" s="1048"/>
      <c r="AM235" s="1048"/>
      <c r="AN235" s="1048"/>
      <c r="AO235" s="1048"/>
      <c r="AP235" s="1048"/>
      <c r="AQ235" s="1048"/>
    </row>
    <row r="236" spans="2:43" x14ac:dyDescent="0.25">
      <c r="B236" s="1064"/>
      <c r="C236" s="1065"/>
      <c r="D236" s="1064"/>
      <c r="E236" s="1067"/>
      <c r="F236" s="1067"/>
      <c r="G236" s="1052"/>
      <c r="H236" s="1055"/>
      <c r="I236" s="1055"/>
      <c r="J236" s="1114" t="str">
        <f t="shared" si="16"/>
        <v/>
      </c>
      <c r="K236" s="1055"/>
      <c r="L236" s="1055"/>
      <c r="M236" s="1115" t="str">
        <f t="shared" si="17"/>
        <v/>
      </c>
      <c r="N236" s="1055"/>
      <c r="O236" s="1055"/>
      <c r="P236" s="1115" t="str">
        <f t="shared" si="18"/>
        <v/>
      </c>
      <c r="Q236" s="1055"/>
      <c r="R236" s="1055"/>
      <c r="S236" s="1115" t="str">
        <f t="shared" si="19"/>
        <v/>
      </c>
      <c r="T236" s="1054"/>
      <c r="U236" s="1055"/>
      <c r="V236" s="1253" t="str">
        <f t="shared" si="20"/>
        <v/>
      </c>
      <c r="W236" s="1048"/>
      <c r="X236" s="1048"/>
      <c r="Y236" s="1048"/>
      <c r="Z236" s="1048"/>
      <c r="AA236" s="1048"/>
      <c r="AB236" s="1048"/>
      <c r="AC236" s="1048"/>
      <c r="AD236" s="1048"/>
      <c r="AE236" s="1048"/>
      <c r="AF236" s="1048"/>
      <c r="AG236" s="1048"/>
      <c r="AH236" s="1048"/>
      <c r="AI236" s="1048"/>
      <c r="AJ236" s="1048"/>
      <c r="AK236" s="1048"/>
      <c r="AL236" s="1048"/>
      <c r="AM236" s="1048"/>
      <c r="AN236" s="1048"/>
      <c r="AO236" s="1048"/>
      <c r="AP236" s="1048"/>
      <c r="AQ236" s="1048"/>
    </row>
    <row r="237" spans="2:43" x14ac:dyDescent="0.25">
      <c r="B237" s="1064"/>
      <c r="C237" s="1065"/>
      <c r="D237" s="1064"/>
      <c r="E237" s="1067"/>
      <c r="F237" s="1067"/>
      <c r="G237" s="1052"/>
      <c r="H237" s="1055"/>
      <c r="I237" s="1055"/>
      <c r="J237" s="1114" t="str">
        <f t="shared" si="16"/>
        <v/>
      </c>
      <c r="K237" s="1055"/>
      <c r="L237" s="1055"/>
      <c r="M237" s="1115" t="str">
        <f t="shared" si="17"/>
        <v/>
      </c>
      <c r="N237" s="1055"/>
      <c r="O237" s="1055"/>
      <c r="P237" s="1115" t="str">
        <f t="shared" si="18"/>
        <v/>
      </c>
      <c r="Q237" s="1055"/>
      <c r="R237" s="1055"/>
      <c r="S237" s="1115" t="str">
        <f t="shared" si="19"/>
        <v/>
      </c>
      <c r="T237" s="1054"/>
      <c r="U237" s="1055"/>
      <c r="V237" s="1253" t="str">
        <f t="shared" si="20"/>
        <v/>
      </c>
      <c r="W237" s="1048"/>
      <c r="X237" s="1048"/>
      <c r="Y237" s="1048"/>
      <c r="Z237" s="1048"/>
      <c r="AA237" s="1048"/>
      <c r="AB237" s="1048"/>
      <c r="AC237" s="1048"/>
      <c r="AD237" s="1048"/>
      <c r="AE237" s="1048"/>
      <c r="AF237" s="1048"/>
      <c r="AG237" s="1048"/>
      <c r="AH237" s="1048"/>
      <c r="AI237" s="1048"/>
      <c r="AJ237" s="1048"/>
      <c r="AK237" s="1048"/>
      <c r="AL237" s="1048"/>
      <c r="AM237" s="1048"/>
      <c r="AN237" s="1048"/>
      <c r="AO237" s="1048"/>
      <c r="AP237" s="1048"/>
      <c r="AQ237" s="1048"/>
    </row>
    <row r="238" spans="2:43" x14ac:dyDescent="0.25">
      <c r="B238" s="1064"/>
      <c r="C238" s="1065"/>
      <c r="D238" s="1064"/>
      <c r="E238" s="1067"/>
      <c r="F238" s="1067"/>
      <c r="G238" s="1052"/>
      <c r="H238" s="1055"/>
      <c r="I238" s="1055"/>
      <c r="J238" s="1114" t="str">
        <f t="shared" si="16"/>
        <v/>
      </c>
      <c r="K238" s="1055"/>
      <c r="L238" s="1055"/>
      <c r="M238" s="1115" t="str">
        <f t="shared" si="17"/>
        <v/>
      </c>
      <c r="N238" s="1055"/>
      <c r="O238" s="1055"/>
      <c r="P238" s="1115" t="str">
        <f t="shared" si="18"/>
        <v/>
      </c>
      <c r="Q238" s="1055"/>
      <c r="R238" s="1055"/>
      <c r="S238" s="1115" t="str">
        <f t="shared" si="19"/>
        <v/>
      </c>
      <c r="T238" s="1054"/>
      <c r="U238" s="1055"/>
      <c r="V238" s="1253" t="str">
        <f t="shared" si="20"/>
        <v/>
      </c>
      <c r="W238" s="1048"/>
      <c r="X238" s="1048"/>
      <c r="Y238" s="1048"/>
      <c r="Z238" s="1048"/>
      <c r="AA238" s="1048"/>
      <c r="AB238" s="1048"/>
      <c r="AC238" s="1048"/>
      <c r="AD238" s="1048"/>
      <c r="AE238" s="1048"/>
      <c r="AF238" s="1048"/>
      <c r="AG238" s="1048"/>
      <c r="AH238" s="1048"/>
      <c r="AI238" s="1048"/>
      <c r="AJ238" s="1048"/>
      <c r="AK238" s="1048"/>
      <c r="AL238" s="1048"/>
      <c r="AM238" s="1048"/>
      <c r="AN238" s="1048"/>
      <c r="AO238" s="1048"/>
      <c r="AP238" s="1048"/>
      <c r="AQ238" s="1048"/>
    </row>
    <row r="239" spans="2:43" x14ac:dyDescent="0.25">
      <c r="B239" s="1064"/>
      <c r="C239" s="1065"/>
      <c r="D239" s="1064"/>
      <c r="E239" s="1067"/>
      <c r="F239" s="1067"/>
      <c r="G239" s="1052"/>
      <c r="H239" s="1055"/>
      <c r="I239" s="1055"/>
      <c r="J239" s="1114" t="str">
        <f t="shared" si="16"/>
        <v/>
      </c>
      <c r="K239" s="1055"/>
      <c r="L239" s="1055"/>
      <c r="M239" s="1115" t="str">
        <f t="shared" si="17"/>
        <v/>
      </c>
      <c r="N239" s="1055"/>
      <c r="O239" s="1055"/>
      <c r="P239" s="1115" t="str">
        <f t="shared" si="18"/>
        <v/>
      </c>
      <c r="Q239" s="1055"/>
      <c r="R239" s="1055"/>
      <c r="S239" s="1115" t="str">
        <f t="shared" si="19"/>
        <v/>
      </c>
      <c r="T239" s="1054"/>
      <c r="U239" s="1055"/>
      <c r="V239" s="1253" t="str">
        <f t="shared" si="20"/>
        <v/>
      </c>
      <c r="W239" s="1048"/>
      <c r="X239" s="1048"/>
      <c r="Y239" s="1048"/>
      <c r="Z239" s="1048"/>
      <c r="AA239" s="1048"/>
      <c r="AB239" s="1048"/>
      <c r="AC239" s="1048"/>
      <c r="AD239" s="1048"/>
      <c r="AE239" s="1048"/>
      <c r="AF239" s="1048"/>
      <c r="AG239" s="1048"/>
      <c r="AH239" s="1048"/>
      <c r="AI239" s="1048"/>
      <c r="AJ239" s="1048"/>
      <c r="AK239" s="1048"/>
      <c r="AL239" s="1048"/>
      <c r="AM239" s="1048"/>
      <c r="AN239" s="1048"/>
      <c r="AO239" s="1048"/>
      <c r="AP239" s="1048"/>
      <c r="AQ239" s="1048"/>
    </row>
    <row r="240" spans="2:43" x14ac:dyDescent="0.25">
      <c r="B240" s="1064"/>
      <c r="C240" s="1065"/>
      <c r="D240" s="1064"/>
      <c r="E240" s="1067"/>
      <c r="F240" s="1067"/>
      <c r="G240" s="1052"/>
      <c r="H240" s="1055"/>
      <c r="I240" s="1055"/>
      <c r="J240" s="1114" t="str">
        <f t="shared" si="16"/>
        <v/>
      </c>
      <c r="K240" s="1055"/>
      <c r="L240" s="1055"/>
      <c r="M240" s="1115" t="str">
        <f t="shared" si="17"/>
        <v/>
      </c>
      <c r="N240" s="1055"/>
      <c r="O240" s="1055"/>
      <c r="P240" s="1115" t="str">
        <f t="shared" si="18"/>
        <v/>
      </c>
      <c r="Q240" s="1055"/>
      <c r="R240" s="1055"/>
      <c r="S240" s="1115" t="str">
        <f t="shared" si="19"/>
        <v/>
      </c>
      <c r="T240" s="1054"/>
      <c r="U240" s="1055"/>
      <c r="V240" s="1253" t="str">
        <f t="shared" si="20"/>
        <v/>
      </c>
      <c r="W240" s="1048"/>
      <c r="X240" s="1048"/>
      <c r="Y240" s="1048"/>
      <c r="Z240" s="1048"/>
      <c r="AA240" s="1048"/>
      <c r="AB240" s="1048"/>
      <c r="AC240" s="1048"/>
      <c r="AD240" s="1048"/>
      <c r="AE240" s="1048"/>
      <c r="AF240" s="1048"/>
      <c r="AG240" s="1048"/>
      <c r="AH240" s="1048"/>
      <c r="AI240" s="1048"/>
      <c r="AJ240" s="1048"/>
      <c r="AK240" s="1048"/>
      <c r="AL240" s="1048"/>
      <c r="AM240" s="1048"/>
      <c r="AN240" s="1048"/>
      <c r="AO240" s="1048"/>
      <c r="AP240" s="1048"/>
      <c r="AQ240" s="1048"/>
    </row>
    <row r="241" spans="2:43" x14ac:dyDescent="0.25">
      <c r="B241" s="1064"/>
      <c r="C241" s="1065"/>
      <c r="D241" s="1064"/>
      <c r="E241" s="1067"/>
      <c r="F241" s="1067"/>
      <c r="G241" s="1052"/>
      <c r="H241" s="1055"/>
      <c r="I241" s="1055"/>
      <c r="J241" s="1114" t="str">
        <f t="shared" si="16"/>
        <v/>
      </c>
      <c r="K241" s="1055"/>
      <c r="L241" s="1055"/>
      <c r="M241" s="1115" t="str">
        <f t="shared" si="17"/>
        <v/>
      </c>
      <c r="N241" s="1055"/>
      <c r="O241" s="1055"/>
      <c r="P241" s="1115" t="str">
        <f t="shared" si="18"/>
        <v/>
      </c>
      <c r="Q241" s="1055"/>
      <c r="R241" s="1055"/>
      <c r="S241" s="1115" t="str">
        <f t="shared" si="19"/>
        <v/>
      </c>
      <c r="T241" s="1054"/>
      <c r="U241" s="1055"/>
      <c r="V241" s="1253" t="str">
        <f t="shared" si="20"/>
        <v/>
      </c>
      <c r="W241" s="1048"/>
      <c r="X241" s="1048"/>
      <c r="Y241" s="1048"/>
      <c r="Z241" s="1048"/>
      <c r="AA241" s="1048"/>
      <c r="AB241" s="1048"/>
      <c r="AC241" s="1048"/>
      <c r="AD241" s="1048"/>
      <c r="AE241" s="1048"/>
      <c r="AF241" s="1048"/>
      <c r="AG241" s="1048"/>
      <c r="AH241" s="1048"/>
      <c r="AI241" s="1048"/>
      <c r="AJ241" s="1048"/>
      <c r="AK241" s="1048"/>
      <c r="AL241" s="1048"/>
      <c r="AM241" s="1048"/>
      <c r="AN241" s="1048"/>
      <c r="AO241" s="1048"/>
      <c r="AP241" s="1048"/>
      <c r="AQ241" s="1048"/>
    </row>
    <row r="242" spans="2:43" x14ac:dyDescent="0.25">
      <c r="B242" s="1064"/>
      <c r="C242" s="1065"/>
      <c r="D242" s="1064"/>
      <c r="E242" s="1067"/>
      <c r="F242" s="1067"/>
      <c r="G242" s="1052"/>
      <c r="H242" s="1055"/>
      <c r="I242" s="1055"/>
      <c r="J242" s="1114" t="str">
        <f t="shared" si="16"/>
        <v/>
      </c>
      <c r="K242" s="1055"/>
      <c r="L242" s="1055"/>
      <c r="M242" s="1115" t="str">
        <f t="shared" si="17"/>
        <v/>
      </c>
      <c r="N242" s="1055"/>
      <c r="O242" s="1055"/>
      <c r="P242" s="1115" t="str">
        <f t="shared" si="18"/>
        <v/>
      </c>
      <c r="Q242" s="1055"/>
      <c r="R242" s="1055"/>
      <c r="S242" s="1115" t="str">
        <f t="shared" si="19"/>
        <v/>
      </c>
      <c r="T242" s="1054"/>
      <c r="U242" s="1055"/>
      <c r="V242" s="1253" t="str">
        <f t="shared" si="20"/>
        <v/>
      </c>
      <c r="W242" s="1048"/>
      <c r="X242" s="1048"/>
      <c r="Y242" s="1048"/>
      <c r="Z242" s="1048"/>
      <c r="AA242" s="1048"/>
      <c r="AB242" s="1048"/>
      <c r="AC242" s="1048"/>
      <c r="AD242" s="1048"/>
      <c r="AE242" s="1048"/>
      <c r="AF242" s="1048"/>
      <c r="AG242" s="1048"/>
      <c r="AH242" s="1048"/>
      <c r="AI242" s="1048"/>
      <c r="AJ242" s="1048"/>
      <c r="AK242" s="1048"/>
      <c r="AL242" s="1048"/>
      <c r="AM242" s="1048"/>
      <c r="AN242" s="1048"/>
      <c r="AO242" s="1048"/>
      <c r="AP242" s="1048"/>
      <c r="AQ242" s="1048"/>
    </row>
    <row r="243" spans="2:43" x14ac:dyDescent="0.25">
      <c r="B243" s="1064"/>
      <c r="C243" s="1065"/>
      <c r="D243" s="1064"/>
      <c r="E243" s="1067"/>
      <c r="F243" s="1067"/>
      <c r="G243" s="1052"/>
      <c r="H243" s="1055"/>
      <c r="I243" s="1055"/>
      <c r="J243" s="1114" t="str">
        <f t="shared" si="16"/>
        <v/>
      </c>
      <c r="K243" s="1055"/>
      <c r="L243" s="1055"/>
      <c r="M243" s="1115" t="str">
        <f t="shared" si="17"/>
        <v/>
      </c>
      <c r="N243" s="1055"/>
      <c r="O243" s="1055"/>
      <c r="P243" s="1115" t="str">
        <f t="shared" si="18"/>
        <v/>
      </c>
      <c r="Q243" s="1055"/>
      <c r="R243" s="1055"/>
      <c r="S243" s="1115" t="str">
        <f t="shared" si="19"/>
        <v/>
      </c>
      <c r="T243" s="1054"/>
      <c r="U243" s="1055"/>
      <c r="V243" s="1253" t="str">
        <f t="shared" si="20"/>
        <v/>
      </c>
      <c r="W243" s="1048"/>
      <c r="X243" s="1048"/>
      <c r="Y243" s="1048"/>
      <c r="Z243" s="1048"/>
      <c r="AA243" s="1048"/>
      <c r="AB243" s="1048"/>
      <c r="AC243" s="1048"/>
      <c r="AD243" s="1048"/>
      <c r="AE243" s="1048"/>
      <c r="AF243" s="1048"/>
      <c r="AG243" s="1048"/>
      <c r="AH243" s="1048"/>
      <c r="AI243" s="1048"/>
      <c r="AJ243" s="1048"/>
      <c r="AK243" s="1048"/>
      <c r="AL243" s="1048"/>
      <c r="AM243" s="1048"/>
      <c r="AN243" s="1048"/>
      <c r="AO243" s="1048"/>
      <c r="AP243" s="1048"/>
      <c r="AQ243" s="1048"/>
    </row>
    <row r="244" spans="2:43" x14ac:dyDescent="0.25">
      <c r="B244" s="1064"/>
      <c r="C244" s="1065"/>
      <c r="D244" s="1064"/>
      <c r="E244" s="1067"/>
      <c r="F244" s="1067"/>
      <c r="G244" s="1052"/>
      <c r="H244" s="1055"/>
      <c r="I244" s="1055"/>
      <c r="J244" s="1114" t="str">
        <f t="shared" si="16"/>
        <v/>
      </c>
      <c r="K244" s="1055"/>
      <c r="L244" s="1055"/>
      <c r="M244" s="1115" t="str">
        <f t="shared" si="17"/>
        <v/>
      </c>
      <c r="N244" s="1055"/>
      <c r="O244" s="1055"/>
      <c r="P244" s="1115" t="str">
        <f t="shared" si="18"/>
        <v/>
      </c>
      <c r="Q244" s="1055"/>
      <c r="R244" s="1055"/>
      <c r="S244" s="1115" t="str">
        <f t="shared" si="19"/>
        <v/>
      </c>
      <c r="T244" s="1054"/>
      <c r="U244" s="1055"/>
      <c r="V244" s="1253" t="str">
        <f t="shared" si="20"/>
        <v/>
      </c>
      <c r="W244" s="1048"/>
      <c r="X244" s="1048"/>
      <c r="Y244" s="1048"/>
      <c r="Z244" s="1048"/>
      <c r="AA244" s="1048"/>
      <c r="AB244" s="1048"/>
      <c r="AC244" s="1048"/>
      <c r="AD244" s="1048"/>
      <c r="AE244" s="1048"/>
      <c r="AF244" s="1048"/>
      <c r="AG244" s="1048"/>
      <c r="AH244" s="1048"/>
      <c r="AI244" s="1048"/>
      <c r="AJ244" s="1048"/>
      <c r="AK244" s="1048"/>
      <c r="AL244" s="1048"/>
      <c r="AM244" s="1048"/>
      <c r="AN244" s="1048"/>
      <c r="AO244" s="1048"/>
      <c r="AP244" s="1048"/>
      <c r="AQ244" s="1048"/>
    </row>
    <row r="245" spans="2:43" x14ac:dyDescent="0.25">
      <c r="B245" s="1064"/>
      <c r="C245" s="1065"/>
      <c r="D245" s="1064"/>
      <c r="E245" s="1067"/>
      <c r="F245" s="1067"/>
      <c r="G245" s="1052"/>
      <c r="H245" s="1055"/>
      <c r="I245" s="1055"/>
      <c r="J245" s="1114" t="str">
        <f t="shared" si="16"/>
        <v/>
      </c>
      <c r="K245" s="1055"/>
      <c r="L245" s="1055"/>
      <c r="M245" s="1115" t="str">
        <f t="shared" si="17"/>
        <v/>
      </c>
      <c r="N245" s="1055"/>
      <c r="O245" s="1055"/>
      <c r="P245" s="1115" t="str">
        <f t="shared" si="18"/>
        <v/>
      </c>
      <c r="Q245" s="1055"/>
      <c r="R245" s="1055"/>
      <c r="S245" s="1115" t="str">
        <f t="shared" si="19"/>
        <v/>
      </c>
      <c r="T245" s="1054"/>
      <c r="U245" s="1055"/>
      <c r="V245" s="1253" t="str">
        <f t="shared" si="20"/>
        <v/>
      </c>
      <c r="W245" s="1048"/>
      <c r="X245" s="1048"/>
      <c r="Y245" s="1048"/>
      <c r="Z245" s="1048"/>
      <c r="AA245" s="1048"/>
      <c r="AB245" s="1048"/>
      <c r="AC245" s="1048"/>
      <c r="AD245" s="1048"/>
      <c r="AE245" s="1048"/>
      <c r="AF245" s="1048"/>
      <c r="AG245" s="1048"/>
      <c r="AH245" s="1048"/>
      <c r="AI245" s="1048"/>
      <c r="AJ245" s="1048"/>
      <c r="AK245" s="1048"/>
      <c r="AL245" s="1048"/>
      <c r="AM245" s="1048"/>
      <c r="AN245" s="1048"/>
      <c r="AO245" s="1048"/>
      <c r="AP245" s="1048"/>
      <c r="AQ245" s="1048"/>
    </row>
    <row r="246" spans="2:43" x14ac:dyDescent="0.25">
      <c r="B246" s="1064"/>
      <c r="C246" s="1065"/>
      <c r="D246" s="1064"/>
      <c r="E246" s="1067"/>
      <c r="F246" s="1067"/>
      <c r="G246" s="1052"/>
      <c r="H246" s="1055"/>
      <c r="I246" s="1055"/>
      <c r="J246" s="1114" t="str">
        <f t="shared" si="16"/>
        <v/>
      </c>
      <c r="K246" s="1055"/>
      <c r="L246" s="1055"/>
      <c r="M246" s="1115" t="str">
        <f t="shared" si="17"/>
        <v/>
      </c>
      <c r="N246" s="1055"/>
      <c r="O246" s="1055"/>
      <c r="P246" s="1115" t="str">
        <f t="shared" si="18"/>
        <v/>
      </c>
      <c r="Q246" s="1055"/>
      <c r="R246" s="1055"/>
      <c r="S246" s="1115" t="str">
        <f t="shared" si="19"/>
        <v/>
      </c>
      <c r="T246" s="1054"/>
      <c r="U246" s="1055"/>
      <c r="V246" s="1253" t="str">
        <f t="shared" si="20"/>
        <v/>
      </c>
      <c r="W246" s="1048"/>
      <c r="X246" s="1048"/>
      <c r="Y246" s="1048"/>
      <c r="Z246" s="1048"/>
      <c r="AA246" s="1048"/>
      <c r="AB246" s="1048"/>
      <c r="AC246" s="1048"/>
      <c r="AD246" s="1048"/>
      <c r="AE246" s="1048"/>
      <c r="AF246" s="1048"/>
      <c r="AG246" s="1048"/>
      <c r="AH246" s="1048"/>
      <c r="AI246" s="1048"/>
      <c r="AJ246" s="1048"/>
      <c r="AK246" s="1048"/>
      <c r="AL246" s="1048"/>
      <c r="AM246" s="1048"/>
      <c r="AN246" s="1048"/>
      <c r="AO246" s="1048"/>
      <c r="AP246" s="1048"/>
      <c r="AQ246" s="1048"/>
    </row>
    <row r="247" spans="2:43" x14ac:dyDescent="0.25">
      <c r="B247" s="1064"/>
      <c r="C247" s="1065"/>
      <c r="D247" s="1064"/>
      <c r="E247" s="1067"/>
      <c r="F247" s="1067"/>
      <c r="G247" s="1052"/>
      <c r="H247" s="1055"/>
      <c r="I247" s="1055"/>
      <c r="J247" s="1114" t="str">
        <f t="shared" si="16"/>
        <v/>
      </c>
      <c r="K247" s="1055"/>
      <c r="L247" s="1055"/>
      <c r="M247" s="1115" t="str">
        <f t="shared" si="17"/>
        <v/>
      </c>
      <c r="N247" s="1055"/>
      <c r="O247" s="1055"/>
      <c r="P247" s="1115" t="str">
        <f t="shared" si="18"/>
        <v/>
      </c>
      <c r="Q247" s="1055"/>
      <c r="R247" s="1055"/>
      <c r="S247" s="1115" t="str">
        <f t="shared" si="19"/>
        <v/>
      </c>
      <c r="T247" s="1054"/>
      <c r="U247" s="1055"/>
      <c r="V247" s="1253" t="str">
        <f t="shared" si="20"/>
        <v/>
      </c>
      <c r="W247" s="1048"/>
      <c r="X247" s="1048"/>
      <c r="Y247" s="1048"/>
      <c r="Z247" s="1048"/>
      <c r="AA247" s="1048"/>
      <c r="AB247" s="1048"/>
      <c r="AC247" s="1048"/>
      <c r="AD247" s="1048"/>
      <c r="AE247" s="1048"/>
      <c r="AF247" s="1048"/>
      <c r="AG247" s="1048"/>
      <c r="AH247" s="1048"/>
      <c r="AI247" s="1048"/>
      <c r="AJ247" s="1048"/>
      <c r="AK247" s="1048"/>
      <c r="AL247" s="1048"/>
      <c r="AM247" s="1048"/>
      <c r="AN247" s="1048"/>
      <c r="AO247" s="1048"/>
      <c r="AP247" s="1048"/>
      <c r="AQ247" s="1048"/>
    </row>
    <row r="248" spans="2:43" x14ac:dyDescent="0.25">
      <c r="B248" s="1064"/>
      <c r="C248" s="1065"/>
      <c r="D248" s="1064"/>
      <c r="E248" s="1067"/>
      <c r="F248" s="1067"/>
      <c r="G248" s="1052"/>
      <c r="H248" s="1055"/>
      <c r="I248" s="1055"/>
      <c r="J248" s="1114" t="str">
        <f t="shared" si="16"/>
        <v/>
      </c>
      <c r="K248" s="1055"/>
      <c r="L248" s="1055"/>
      <c r="M248" s="1115" t="str">
        <f t="shared" si="17"/>
        <v/>
      </c>
      <c r="N248" s="1055"/>
      <c r="O248" s="1055"/>
      <c r="P248" s="1115" t="str">
        <f t="shared" si="18"/>
        <v/>
      </c>
      <c r="Q248" s="1055"/>
      <c r="R248" s="1055"/>
      <c r="S248" s="1115" t="str">
        <f t="shared" si="19"/>
        <v/>
      </c>
      <c r="T248" s="1054"/>
      <c r="U248" s="1055"/>
      <c r="V248" s="1253" t="str">
        <f t="shared" si="20"/>
        <v/>
      </c>
      <c r="W248" s="1048"/>
      <c r="X248" s="1048"/>
      <c r="Y248" s="1048"/>
      <c r="Z248" s="1048"/>
      <c r="AA248" s="1048"/>
      <c r="AB248" s="1048"/>
      <c r="AC248" s="1048"/>
      <c r="AD248" s="1048"/>
      <c r="AE248" s="1048"/>
      <c r="AF248" s="1048"/>
      <c r="AG248" s="1048"/>
      <c r="AH248" s="1048"/>
      <c r="AI248" s="1048"/>
      <c r="AJ248" s="1048"/>
      <c r="AK248" s="1048"/>
      <c r="AL248" s="1048"/>
      <c r="AM248" s="1048"/>
      <c r="AN248" s="1048"/>
      <c r="AO248" s="1048"/>
      <c r="AP248" s="1048"/>
      <c r="AQ248" s="1048"/>
    </row>
    <row r="249" spans="2:43" x14ac:dyDescent="0.25">
      <c r="B249" s="1064"/>
      <c r="C249" s="1065"/>
      <c r="D249" s="1064"/>
      <c r="E249" s="1067"/>
      <c r="F249" s="1067"/>
      <c r="G249" s="1052"/>
      <c r="H249" s="1055"/>
      <c r="I249" s="1055"/>
      <c r="J249" s="1114" t="str">
        <f t="shared" si="16"/>
        <v/>
      </c>
      <c r="K249" s="1055"/>
      <c r="L249" s="1055"/>
      <c r="M249" s="1115" t="str">
        <f t="shared" si="17"/>
        <v/>
      </c>
      <c r="N249" s="1055"/>
      <c r="O249" s="1055"/>
      <c r="P249" s="1115" t="str">
        <f t="shared" si="18"/>
        <v/>
      </c>
      <c r="Q249" s="1055"/>
      <c r="R249" s="1055"/>
      <c r="S249" s="1115" t="str">
        <f t="shared" si="19"/>
        <v/>
      </c>
      <c r="T249" s="1054"/>
      <c r="U249" s="1055"/>
      <c r="V249" s="1253" t="str">
        <f t="shared" si="20"/>
        <v/>
      </c>
      <c r="W249" s="1048"/>
      <c r="X249" s="1048"/>
      <c r="Y249" s="1048"/>
      <c r="Z249" s="1048"/>
      <c r="AA249" s="1048"/>
      <c r="AB249" s="1048"/>
      <c r="AC249" s="1048"/>
      <c r="AD249" s="1048"/>
      <c r="AE249" s="1048"/>
      <c r="AF249" s="1048"/>
      <c r="AG249" s="1048"/>
      <c r="AH249" s="1048"/>
      <c r="AI249" s="1048"/>
      <c r="AJ249" s="1048"/>
      <c r="AK249" s="1048"/>
      <c r="AL249" s="1048"/>
      <c r="AM249" s="1048"/>
      <c r="AN249" s="1048"/>
      <c r="AO249" s="1048"/>
      <c r="AP249" s="1048"/>
      <c r="AQ249" s="1048"/>
    </row>
    <row r="250" spans="2:43" x14ac:dyDescent="0.25">
      <c r="B250" s="1064"/>
      <c r="C250" s="1065"/>
      <c r="D250" s="1064"/>
      <c r="E250" s="1067"/>
      <c r="F250" s="1067"/>
      <c r="G250" s="1052"/>
      <c r="H250" s="1055"/>
      <c r="I250" s="1055"/>
      <c r="J250" s="1114" t="str">
        <f t="shared" si="16"/>
        <v/>
      </c>
      <c r="K250" s="1055"/>
      <c r="L250" s="1055"/>
      <c r="M250" s="1115" t="str">
        <f t="shared" si="17"/>
        <v/>
      </c>
      <c r="N250" s="1055"/>
      <c r="O250" s="1055"/>
      <c r="P250" s="1115" t="str">
        <f t="shared" si="18"/>
        <v/>
      </c>
      <c r="Q250" s="1055"/>
      <c r="R250" s="1055"/>
      <c r="S250" s="1115" t="str">
        <f t="shared" si="19"/>
        <v/>
      </c>
      <c r="T250" s="1054"/>
      <c r="U250" s="1055"/>
      <c r="V250" s="1253" t="str">
        <f t="shared" si="20"/>
        <v/>
      </c>
      <c r="W250" s="1048"/>
      <c r="X250" s="1048"/>
      <c r="Y250" s="1048"/>
      <c r="Z250" s="1048"/>
      <c r="AA250" s="1048"/>
      <c r="AB250" s="1048"/>
      <c r="AC250" s="1048"/>
      <c r="AD250" s="1048"/>
      <c r="AE250" s="1048"/>
      <c r="AF250" s="1048"/>
      <c r="AG250" s="1048"/>
      <c r="AH250" s="1048"/>
      <c r="AI250" s="1048"/>
      <c r="AJ250" s="1048"/>
      <c r="AK250" s="1048"/>
      <c r="AL250" s="1048"/>
      <c r="AM250" s="1048"/>
      <c r="AN250" s="1048"/>
      <c r="AO250" s="1048"/>
      <c r="AP250" s="1048"/>
      <c r="AQ250" s="1048"/>
    </row>
    <row r="251" spans="2:43" x14ac:dyDescent="0.25">
      <c r="B251" s="1064"/>
      <c r="C251" s="1065"/>
      <c r="D251" s="1064"/>
      <c r="E251" s="1067"/>
      <c r="F251" s="1067"/>
      <c r="G251" s="1052"/>
      <c r="H251" s="1055"/>
      <c r="I251" s="1055"/>
      <c r="J251" s="1114" t="str">
        <f t="shared" si="16"/>
        <v/>
      </c>
      <c r="K251" s="1055"/>
      <c r="L251" s="1055"/>
      <c r="M251" s="1115" t="str">
        <f t="shared" si="17"/>
        <v/>
      </c>
      <c r="N251" s="1055"/>
      <c r="O251" s="1055"/>
      <c r="P251" s="1115" t="str">
        <f t="shared" si="18"/>
        <v/>
      </c>
      <c r="Q251" s="1055"/>
      <c r="R251" s="1055"/>
      <c r="S251" s="1115" t="str">
        <f t="shared" si="19"/>
        <v/>
      </c>
      <c r="T251" s="1054"/>
      <c r="U251" s="1055"/>
      <c r="V251" s="1253" t="str">
        <f t="shared" si="20"/>
        <v/>
      </c>
      <c r="W251" s="1048"/>
      <c r="X251" s="1048"/>
      <c r="Y251" s="1048"/>
      <c r="Z251" s="1048"/>
      <c r="AA251" s="1048"/>
      <c r="AB251" s="1048"/>
      <c r="AC251" s="1048"/>
      <c r="AD251" s="1048"/>
      <c r="AE251" s="1048"/>
      <c r="AF251" s="1048"/>
      <c r="AG251" s="1048"/>
      <c r="AH251" s="1048"/>
      <c r="AI251" s="1048"/>
      <c r="AJ251" s="1048"/>
      <c r="AK251" s="1048"/>
      <c r="AL251" s="1048"/>
      <c r="AM251" s="1048"/>
      <c r="AN251" s="1048"/>
      <c r="AO251" s="1048"/>
      <c r="AP251" s="1048"/>
      <c r="AQ251" s="1048"/>
    </row>
    <row r="252" spans="2:43" x14ac:dyDescent="0.25">
      <c r="B252" s="1064"/>
      <c r="C252" s="1065"/>
      <c r="D252" s="1064"/>
      <c r="E252" s="1067"/>
      <c r="F252" s="1067"/>
      <c r="G252" s="1052"/>
      <c r="H252" s="1055"/>
      <c r="I252" s="1055"/>
      <c r="J252" s="1114" t="str">
        <f t="shared" si="16"/>
        <v/>
      </c>
      <c r="K252" s="1055"/>
      <c r="L252" s="1055"/>
      <c r="M252" s="1115" t="str">
        <f t="shared" si="17"/>
        <v/>
      </c>
      <c r="N252" s="1055"/>
      <c r="O252" s="1055"/>
      <c r="P252" s="1115" t="str">
        <f t="shared" si="18"/>
        <v/>
      </c>
      <c r="Q252" s="1055"/>
      <c r="R252" s="1055"/>
      <c r="S252" s="1115" t="str">
        <f t="shared" si="19"/>
        <v/>
      </c>
      <c r="T252" s="1054"/>
      <c r="U252" s="1055"/>
      <c r="V252" s="1253" t="str">
        <f t="shared" si="20"/>
        <v/>
      </c>
      <c r="W252" s="1048"/>
      <c r="X252" s="1048"/>
      <c r="Y252" s="1048"/>
      <c r="Z252" s="1048"/>
      <c r="AA252" s="1048"/>
      <c r="AB252" s="1048"/>
      <c r="AC252" s="1048"/>
      <c r="AD252" s="1048"/>
      <c r="AE252" s="1048"/>
      <c r="AF252" s="1048"/>
      <c r="AG252" s="1048"/>
      <c r="AH252" s="1048"/>
      <c r="AI252" s="1048"/>
      <c r="AJ252" s="1048"/>
      <c r="AK252" s="1048"/>
      <c r="AL252" s="1048"/>
      <c r="AM252" s="1048"/>
      <c r="AN252" s="1048"/>
      <c r="AO252" s="1048"/>
      <c r="AP252" s="1048"/>
      <c r="AQ252" s="1048"/>
    </row>
    <row r="253" spans="2:43" x14ac:dyDescent="0.25">
      <c r="B253" s="1064"/>
      <c r="C253" s="1065"/>
      <c r="D253" s="1064"/>
      <c r="E253" s="1067"/>
      <c r="F253" s="1067"/>
      <c r="G253" s="1052"/>
      <c r="H253" s="1055"/>
      <c r="I253" s="1055"/>
      <c r="J253" s="1114" t="str">
        <f t="shared" si="16"/>
        <v/>
      </c>
      <c r="K253" s="1055"/>
      <c r="L253" s="1055"/>
      <c r="M253" s="1115" t="str">
        <f t="shared" si="17"/>
        <v/>
      </c>
      <c r="N253" s="1055"/>
      <c r="O253" s="1055"/>
      <c r="P253" s="1115" t="str">
        <f t="shared" si="18"/>
        <v/>
      </c>
      <c r="Q253" s="1055"/>
      <c r="R253" s="1055"/>
      <c r="S253" s="1115" t="str">
        <f t="shared" si="19"/>
        <v/>
      </c>
      <c r="T253" s="1054"/>
      <c r="U253" s="1055"/>
      <c r="V253" s="1253" t="str">
        <f t="shared" si="20"/>
        <v/>
      </c>
      <c r="W253" s="1048"/>
      <c r="X253" s="1048"/>
      <c r="Y253" s="1048"/>
      <c r="Z253" s="1048"/>
      <c r="AA253" s="1048"/>
      <c r="AB253" s="1048"/>
      <c r="AC253" s="1048"/>
      <c r="AD253" s="1048"/>
      <c r="AE253" s="1048"/>
      <c r="AF253" s="1048"/>
      <c r="AG253" s="1048"/>
      <c r="AH253" s="1048"/>
      <c r="AI253" s="1048"/>
      <c r="AJ253" s="1048"/>
      <c r="AK253" s="1048"/>
      <c r="AL253" s="1048"/>
      <c r="AM253" s="1048"/>
      <c r="AN253" s="1048"/>
      <c r="AO253" s="1048"/>
      <c r="AP253" s="1048"/>
      <c r="AQ253" s="1048"/>
    </row>
    <row r="254" spans="2:43" x14ac:dyDescent="0.25">
      <c r="B254" s="1064"/>
      <c r="C254" s="1065"/>
      <c r="D254" s="1064"/>
      <c r="E254" s="1067"/>
      <c r="F254" s="1067"/>
      <c r="G254" s="1052"/>
      <c r="H254" s="1055"/>
      <c r="I254" s="1055"/>
      <c r="J254" s="1114" t="str">
        <f t="shared" si="16"/>
        <v/>
      </c>
      <c r="K254" s="1055"/>
      <c r="L254" s="1055"/>
      <c r="M254" s="1115" t="str">
        <f t="shared" si="17"/>
        <v/>
      </c>
      <c r="N254" s="1055"/>
      <c r="O254" s="1055"/>
      <c r="P254" s="1115" t="str">
        <f t="shared" si="18"/>
        <v/>
      </c>
      <c r="Q254" s="1055"/>
      <c r="R254" s="1055"/>
      <c r="S254" s="1115" t="str">
        <f t="shared" si="19"/>
        <v/>
      </c>
      <c r="T254" s="1054"/>
      <c r="U254" s="1055"/>
      <c r="V254" s="1253" t="str">
        <f t="shared" si="20"/>
        <v/>
      </c>
      <c r="W254" s="1048"/>
      <c r="X254" s="1048"/>
      <c r="Y254" s="1048"/>
      <c r="Z254" s="1048"/>
      <c r="AA254" s="1048"/>
      <c r="AB254" s="1048"/>
      <c r="AC254" s="1048"/>
      <c r="AD254" s="1048"/>
      <c r="AE254" s="1048"/>
      <c r="AF254" s="1048"/>
      <c r="AG254" s="1048"/>
      <c r="AH254" s="1048"/>
      <c r="AI254" s="1048"/>
      <c r="AJ254" s="1048"/>
      <c r="AK254" s="1048"/>
      <c r="AL254" s="1048"/>
      <c r="AM254" s="1048"/>
      <c r="AN254" s="1048"/>
      <c r="AO254" s="1048"/>
      <c r="AP254" s="1048"/>
      <c r="AQ254" s="1048"/>
    </row>
    <row r="255" spans="2:43" x14ac:dyDescent="0.25">
      <c r="B255" s="1064"/>
      <c r="C255" s="1065"/>
      <c r="D255" s="1064"/>
      <c r="E255" s="1067"/>
      <c r="F255" s="1067"/>
      <c r="G255" s="1052"/>
      <c r="H255" s="1055"/>
      <c r="I255" s="1055"/>
      <c r="J255" s="1114" t="str">
        <f t="shared" si="16"/>
        <v/>
      </c>
      <c r="K255" s="1055"/>
      <c r="L255" s="1055"/>
      <c r="M255" s="1115" t="str">
        <f t="shared" si="17"/>
        <v/>
      </c>
      <c r="N255" s="1055"/>
      <c r="O255" s="1055"/>
      <c r="P255" s="1115" t="str">
        <f t="shared" si="18"/>
        <v/>
      </c>
      <c r="Q255" s="1055"/>
      <c r="R255" s="1055"/>
      <c r="S255" s="1115" t="str">
        <f t="shared" si="19"/>
        <v/>
      </c>
      <c r="T255" s="1054"/>
      <c r="U255" s="1055"/>
      <c r="V255" s="1253" t="str">
        <f t="shared" si="20"/>
        <v/>
      </c>
      <c r="W255" s="1048"/>
      <c r="X255" s="1048"/>
      <c r="Y255" s="1048"/>
      <c r="Z255" s="1048"/>
      <c r="AA255" s="1048"/>
      <c r="AB255" s="1048"/>
      <c r="AC255" s="1048"/>
      <c r="AD255" s="1048"/>
      <c r="AE255" s="1048"/>
      <c r="AF255" s="1048"/>
      <c r="AG255" s="1048"/>
      <c r="AH255" s="1048"/>
      <c r="AI255" s="1048"/>
      <c r="AJ255" s="1048"/>
      <c r="AK255" s="1048"/>
      <c r="AL255" s="1048"/>
      <c r="AM255" s="1048"/>
      <c r="AN255" s="1048"/>
      <c r="AO255" s="1048"/>
      <c r="AP255" s="1048"/>
      <c r="AQ255" s="1048"/>
    </row>
    <row r="256" spans="2:43" x14ac:dyDescent="0.25">
      <c r="B256" s="1064"/>
      <c r="C256" s="1065"/>
      <c r="D256" s="1064"/>
      <c r="E256" s="1067"/>
      <c r="F256" s="1067"/>
      <c r="G256" s="1052"/>
      <c r="H256" s="1055"/>
      <c r="I256" s="1055"/>
      <c r="J256" s="1114" t="str">
        <f t="shared" si="16"/>
        <v/>
      </c>
      <c r="K256" s="1055"/>
      <c r="L256" s="1055"/>
      <c r="M256" s="1115" t="str">
        <f t="shared" si="17"/>
        <v/>
      </c>
      <c r="N256" s="1055"/>
      <c r="O256" s="1055"/>
      <c r="P256" s="1115" t="str">
        <f t="shared" si="18"/>
        <v/>
      </c>
      <c r="Q256" s="1055"/>
      <c r="R256" s="1055"/>
      <c r="S256" s="1115" t="str">
        <f t="shared" si="19"/>
        <v/>
      </c>
      <c r="T256" s="1054"/>
      <c r="U256" s="1055"/>
      <c r="V256" s="1253" t="str">
        <f t="shared" si="20"/>
        <v/>
      </c>
      <c r="W256" s="1048"/>
      <c r="X256" s="1048"/>
      <c r="Y256" s="1048"/>
      <c r="Z256" s="1048"/>
      <c r="AA256" s="1048"/>
      <c r="AB256" s="1048"/>
      <c r="AC256" s="1048"/>
      <c r="AD256" s="1048"/>
      <c r="AE256" s="1048"/>
      <c r="AF256" s="1048"/>
      <c r="AG256" s="1048"/>
      <c r="AH256" s="1048"/>
      <c r="AI256" s="1048"/>
      <c r="AJ256" s="1048"/>
      <c r="AK256" s="1048"/>
      <c r="AL256" s="1048"/>
      <c r="AM256" s="1048"/>
      <c r="AN256" s="1048"/>
      <c r="AO256" s="1048"/>
      <c r="AP256" s="1048"/>
      <c r="AQ256" s="1048"/>
    </row>
    <row r="257" spans="2:43" x14ac:dyDescent="0.25">
      <c r="B257" s="1064"/>
      <c r="C257" s="1065"/>
      <c r="D257" s="1064"/>
      <c r="E257" s="1067"/>
      <c r="F257" s="1067"/>
      <c r="G257" s="1052"/>
      <c r="H257" s="1055"/>
      <c r="I257" s="1055"/>
      <c r="J257" s="1114" t="str">
        <f t="shared" si="16"/>
        <v/>
      </c>
      <c r="K257" s="1055"/>
      <c r="L257" s="1055"/>
      <c r="M257" s="1115" t="str">
        <f t="shared" si="17"/>
        <v/>
      </c>
      <c r="N257" s="1055"/>
      <c r="O257" s="1055"/>
      <c r="P257" s="1115" t="str">
        <f t="shared" si="18"/>
        <v/>
      </c>
      <c r="Q257" s="1055"/>
      <c r="R257" s="1055"/>
      <c r="S257" s="1115" t="str">
        <f t="shared" si="19"/>
        <v/>
      </c>
      <c r="T257" s="1054"/>
      <c r="U257" s="1055"/>
      <c r="V257" s="1253" t="str">
        <f t="shared" si="20"/>
        <v/>
      </c>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row>
    <row r="258" spans="2:43" x14ac:dyDescent="0.25">
      <c r="B258" s="1064"/>
      <c r="C258" s="1065"/>
      <c r="D258" s="1064"/>
      <c r="E258" s="1067"/>
      <c r="F258" s="1067"/>
      <c r="G258" s="1052"/>
      <c r="H258" s="1055"/>
      <c r="I258" s="1055"/>
      <c r="J258" s="1114" t="str">
        <f t="shared" si="16"/>
        <v/>
      </c>
      <c r="K258" s="1055"/>
      <c r="L258" s="1055"/>
      <c r="M258" s="1115" t="str">
        <f t="shared" si="17"/>
        <v/>
      </c>
      <c r="N258" s="1055"/>
      <c r="O258" s="1055"/>
      <c r="P258" s="1115" t="str">
        <f t="shared" si="18"/>
        <v/>
      </c>
      <c r="Q258" s="1055"/>
      <c r="R258" s="1055"/>
      <c r="S258" s="1115" t="str">
        <f t="shared" si="19"/>
        <v/>
      </c>
      <c r="T258" s="1054"/>
      <c r="U258" s="1055"/>
      <c r="V258" s="1253" t="str">
        <f t="shared" si="20"/>
        <v/>
      </c>
      <c r="W258" s="1048"/>
      <c r="X258" s="1048"/>
      <c r="Y258" s="1048"/>
      <c r="Z258" s="1048"/>
      <c r="AA258" s="1048"/>
      <c r="AB258" s="1048"/>
      <c r="AC258" s="1048"/>
      <c r="AD258" s="1048"/>
      <c r="AE258" s="1048"/>
      <c r="AF258" s="1048"/>
      <c r="AG258" s="1048"/>
      <c r="AH258" s="1048"/>
      <c r="AI258" s="1048"/>
      <c r="AJ258" s="1048"/>
      <c r="AK258" s="1048"/>
      <c r="AL258" s="1048"/>
      <c r="AM258" s="1048"/>
      <c r="AN258" s="1048"/>
      <c r="AO258" s="1048"/>
      <c r="AP258" s="1048"/>
      <c r="AQ258" s="1048"/>
    </row>
    <row r="259" spans="2:43" x14ac:dyDescent="0.25">
      <c r="B259" s="1064"/>
      <c r="C259" s="1065"/>
      <c r="D259" s="1064"/>
      <c r="E259" s="1067"/>
      <c r="F259" s="1067"/>
      <c r="G259" s="1052"/>
      <c r="H259" s="1055"/>
      <c r="I259" s="1055"/>
      <c r="J259" s="1114" t="str">
        <f t="shared" si="16"/>
        <v/>
      </c>
      <c r="K259" s="1055"/>
      <c r="L259" s="1055"/>
      <c r="M259" s="1115" t="str">
        <f t="shared" si="17"/>
        <v/>
      </c>
      <c r="N259" s="1055"/>
      <c r="O259" s="1055"/>
      <c r="P259" s="1115" t="str">
        <f t="shared" si="18"/>
        <v/>
      </c>
      <c r="Q259" s="1055"/>
      <c r="R259" s="1055"/>
      <c r="S259" s="1115" t="str">
        <f t="shared" si="19"/>
        <v/>
      </c>
      <c r="T259" s="1054"/>
      <c r="U259" s="1055"/>
      <c r="V259" s="1253" t="str">
        <f t="shared" si="20"/>
        <v/>
      </c>
      <c r="W259" s="1048"/>
      <c r="X259" s="1048"/>
      <c r="Y259" s="1048"/>
      <c r="Z259" s="1048"/>
      <c r="AA259" s="1048"/>
      <c r="AB259" s="1048"/>
      <c r="AC259" s="1048"/>
      <c r="AD259" s="1048"/>
      <c r="AE259" s="1048"/>
      <c r="AF259" s="1048"/>
      <c r="AG259" s="1048"/>
      <c r="AH259" s="1048"/>
      <c r="AI259" s="1048"/>
      <c r="AJ259" s="1048"/>
      <c r="AK259" s="1048"/>
      <c r="AL259" s="1048"/>
      <c r="AM259" s="1048"/>
      <c r="AN259" s="1048"/>
      <c r="AO259" s="1048"/>
      <c r="AP259" s="1048"/>
      <c r="AQ259" s="1048"/>
    </row>
    <row r="260" spans="2:43" x14ac:dyDescent="0.25">
      <c r="B260" s="1064"/>
      <c r="C260" s="1065"/>
      <c r="D260" s="1064"/>
      <c r="E260" s="1067"/>
      <c r="F260" s="1067"/>
      <c r="G260" s="1052"/>
      <c r="H260" s="1055"/>
      <c r="I260" s="1055"/>
      <c r="J260" s="1114" t="str">
        <f t="shared" si="16"/>
        <v/>
      </c>
      <c r="K260" s="1055"/>
      <c r="L260" s="1055"/>
      <c r="M260" s="1115" t="str">
        <f t="shared" si="17"/>
        <v/>
      </c>
      <c r="N260" s="1055"/>
      <c r="O260" s="1055"/>
      <c r="P260" s="1115" t="str">
        <f t="shared" si="18"/>
        <v/>
      </c>
      <c r="Q260" s="1055"/>
      <c r="R260" s="1055"/>
      <c r="S260" s="1115" t="str">
        <f t="shared" si="19"/>
        <v/>
      </c>
      <c r="T260" s="1054"/>
      <c r="U260" s="1055"/>
      <c r="V260" s="1253" t="str">
        <f t="shared" si="20"/>
        <v/>
      </c>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row>
    <row r="261" spans="2:43" x14ac:dyDescent="0.25">
      <c r="B261" s="1064"/>
      <c r="C261" s="1065"/>
      <c r="D261" s="1064"/>
      <c r="E261" s="1067"/>
      <c r="F261" s="1067"/>
      <c r="G261" s="1052"/>
      <c r="H261" s="1055"/>
      <c r="I261" s="1055"/>
      <c r="J261" s="1114" t="str">
        <f t="shared" si="16"/>
        <v/>
      </c>
      <c r="K261" s="1055"/>
      <c r="L261" s="1055"/>
      <c r="M261" s="1115" t="str">
        <f t="shared" si="17"/>
        <v/>
      </c>
      <c r="N261" s="1055"/>
      <c r="O261" s="1055"/>
      <c r="P261" s="1115" t="str">
        <f t="shared" si="18"/>
        <v/>
      </c>
      <c r="Q261" s="1055"/>
      <c r="R261" s="1055"/>
      <c r="S261" s="1115" t="str">
        <f t="shared" si="19"/>
        <v/>
      </c>
      <c r="T261" s="1054"/>
      <c r="U261" s="1055"/>
      <c r="V261" s="1253" t="str">
        <f t="shared" si="20"/>
        <v/>
      </c>
      <c r="W261" s="1048"/>
      <c r="X261" s="1048"/>
      <c r="Y261" s="1048"/>
      <c r="Z261" s="1048"/>
      <c r="AA261" s="1048"/>
      <c r="AB261" s="1048"/>
      <c r="AC261" s="1048"/>
      <c r="AD261" s="1048"/>
      <c r="AE261" s="1048"/>
      <c r="AF261" s="1048"/>
      <c r="AG261" s="1048"/>
      <c r="AH261" s="1048"/>
      <c r="AI261" s="1048"/>
      <c r="AJ261" s="1048"/>
      <c r="AK261" s="1048"/>
      <c r="AL261" s="1048"/>
      <c r="AM261" s="1048"/>
      <c r="AN261" s="1048"/>
      <c r="AO261" s="1048"/>
      <c r="AP261" s="1048"/>
      <c r="AQ261" s="1048"/>
    </row>
    <row r="262" spans="2:43" x14ac:dyDescent="0.25">
      <c r="B262" s="1064"/>
      <c r="C262" s="1065"/>
      <c r="D262" s="1064"/>
      <c r="E262" s="1067"/>
      <c r="F262" s="1067"/>
      <c r="G262" s="1052"/>
      <c r="H262" s="1055"/>
      <c r="I262" s="1055"/>
      <c r="J262" s="1114" t="str">
        <f t="shared" si="16"/>
        <v/>
      </c>
      <c r="K262" s="1055"/>
      <c r="L262" s="1055"/>
      <c r="M262" s="1115" t="str">
        <f t="shared" si="17"/>
        <v/>
      </c>
      <c r="N262" s="1055"/>
      <c r="O262" s="1055"/>
      <c r="P262" s="1115" t="str">
        <f t="shared" si="18"/>
        <v/>
      </c>
      <c r="Q262" s="1055"/>
      <c r="R262" s="1055"/>
      <c r="S262" s="1115" t="str">
        <f t="shared" si="19"/>
        <v/>
      </c>
      <c r="T262" s="1054"/>
      <c r="U262" s="1055"/>
      <c r="V262" s="1253" t="str">
        <f t="shared" si="20"/>
        <v/>
      </c>
      <c r="W262" s="1048"/>
      <c r="X262" s="1048"/>
      <c r="Y262" s="1048"/>
      <c r="Z262" s="1048"/>
      <c r="AA262" s="1048"/>
      <c r="AB262" s="1048"/>
      <c r="AC262" s="1048"/>
      <c r="AD262" s="1048"/>
      <c r="AE262" s="1048"/>
      <c r="AF262" s="1048"/>
      <c r="AG262" s="1048"/>
      <c r="AH262" s="1048"/>
      <c r="AI262" s="1048"/>
      <c r="AJ262" s="1048"/>
      <c r="AK262" s="1048"/>
      <c r="AL262" s="1048"/>
      <c r="AM262" s="1048"/>
      <c r="AN262" s="1048"/>
      <c r="AO262" s="1048"/>
      <c r="AP262" s="1048"/>
      <c r="AQ262" s="1048"/>
    </row>
    <row r="263" spans="2:43" x14ac:dyDescent="0.25">
      <c r="B263" s="1064"/>
      <c r="C263" s="1065"/>
      <c r="D263" s="1064"/>
      <c r="E263" s="1067"/>
      <c r="F263" s="1067"/>
      <c r="G263" s="1052"/>
      <c r="H263" s="1055"/>
      <c r="I263" s="1055"/>
      <c r="J263" s="1114" t="str">
        <f t="shared" si="16"/>
        <v/>
      </c>
      <c r="K263" s="1055"/>
      <c r="L263" s="1055"/>
      <c r="M263" s="1115" t="str">
        <f t="shared" si="17"/>
        <v/>
      </c>
      <c r="N263" s="1055"/>
      <c r="O263" s="1055"/>
      <c r="P263" s="1115" t="str">
        <f t="shared" si="18"/>
        <v/>
      </c>
      <c r="Q263" s="1055"/>
      <c r="R263" s="1055"/>
      <c r="S263" s="1115" t="str">
        <f t="shared" si="19"/>
        <v/>
      </c>
      <c r="T263" s="1054"/>
      <c r="U263" s="1055"/>
      <c r="V263" s="1253" t="str">
        <f t="shared" si="20"/>
        <v/>
      </c>
      <c r="W263" s="1048"/>
      <c r="X263" s="1048"/>
      <c r="Y263" s="1048"/>
      <c r="Z263" s="1048"/>
      <c r="AA263" s="1048"/>
      <c r="AB263" s="1048"/>
      <c r="AC263" s="1048"/>
      <c r="AD263" s="1048"/>
      <c r="AE263" s="1048"/>
      <c r="AF263" s="1048"/>
      <c r="AG263" s="1048"/>
      <c r="AH263" s="1048"/>
      <c r="AI263" s="1048"/>
      <c r="AJ263" s="1048"/>
      <c r="AK263" s="1048"/>
      <c r="AL263" s="1048"/>
      <c r="AM263" s="1048"/>
      <c r="AN263" s="1048"/>
      <c r="AO263" s="1048"/>
      <c r="AP263" s="1048"/>
      <c r="AQ263" s="1048"/>
    </row>
    <row r="264" spans="2:43" x14ac:dyDescent="0.25">
      <c r="B264" s="1064"/>
      <c r="C264" s="1065"/>
      <c r="D264" s="1064"/>
      <c r="E264" s="1067"/>
      <c r="F264" s="1067"/>
      <c r="G264" s="1052"/>
      <c r="H264" s="1055"/>
      <c r="I264" s="1055"/>
      <c r="J264" s="1114" t="str">
        <f t="shared" si="16"/>
        <v/>
      </c>
      <c r="K264" s="1055"/>
      <c r="L264" s="1055"/>
      <c r="M264" s="1115" t="str">
        <f t="shared" si="17"/>
        <v/>
      </c>
      <c r="N264" s="1055"/>
      <c r="O264" s="1055"/>
      <c r="P264" s="1115" t="str">
        <f t="shared" si="18"/>
        <v/>
      </c>
      <c r="Q264" s="1055"/>
      <c r="R264" s="1055"/>
      <c r="S264" s="1115" t="str">
        <f t="shared" si="19"/>
        <v/>
      </c>
      <c r="T264" s="1054"/>
      <c r="U264" s="1055"/>
      <c r="V264" s="1253" t="str">
        <f t="shared" si="20"/>
        <v/>
      </c>
      <c r="W264" s="1048"/>
      <c r="X264" s="1048"/>
      <c r="Y264" s="1048"/>
      <c r="Z264" s="1048"/>
      <c r="AA264" s="1048"/>
      <c r="AB264" s="1048"/>
      <c r="AC264" s="1048"/>
      <c r="AD264" s="1048"/>
      <c r="AE264" s="1048"/>
      <c r="AF264" s="1048"/>
      <c r="AG264" s="1048"/>
      <c r="AH264" s="1048"/>
      <c r="AI264" s="1048"/>
      <c r="AJ264" s="1048"/>
      <c r="AK264" s="1048"/>
      <c r="AL264" s="1048"/>
      <c r="AM264" s="1048"/>
      <c r="AN264" s="1048"/>
      <c r="AO264" s="1048"/>
      <c r="AP264" s="1048"/>
      <c r="AQ264" s="1048"/>
    </row>
    <row r="265" spans="2:43" x14ac:dyDescent="0.25">
      <c r="B265" s="1064"/>
      <c r="C265" s="1065"/>
      <c r="D265" s="1064"/>
      <c r="E265" s="1067"/>
      <c r="F265" s="1067"/>
      <c r="G265" s="1052"/>
      <c r="H265" s="1055"/>
      <c r="I265" s="1055"/>
      <c r="J265" s="1114" t="str">
        <f t="shared" si="16"/>
        <v/>
      </c>
      <c r="K265" s="1055"/>
      <c r="L265" s="1055"/>
      <c r="M265" s="1115" t="str">
        <f t="shared" si="17"/>
        <v/>
      </c>
      <c r="N265" s="1055"/>
      <c r="O265" s="1055"/>
      <c r="P265" s="1115" t="str">
        <f t="shared" si="18"/>
        <v/>
      </c>
      <c r="Q265" s="1055"/>
      <c r="R265" s="1055"/>
      <c r="S265" s="1115" t="str">
        <f t="shared" si="19"/>
        <v/>
      </c>
      <c r="T265" s="1054"/>
      <c r="U265" s="1055"/>
      <c r="V265" s="1253" t="str">
        <f t="shared" si="20"/>
        <v/>
      </c>
      <c r="W265" s="1048"/>
      <c r="X265" s="1048"/>
      <c r="Y265" s="1048"/>
      <c r="Z265" s="1048"/>
      <c r="AA265" s="1048"/>
      <c r="AB265" s="1048"/>
      <c r="AC265" s="1048"/>
      <c r="AD265" s="1048"/>
      <c r="AE265" s="1048"/>
      <c r="AF265" s="1048"/>
      <c r="AG265" s="1048"/>
      <c r="AH265" s="1048"/>
      <c r="AI265" s="1048"/>
      <c r="AJ265" s="1048"/>
      <c r="AK265" s="1048"/>
      <c r="AL265" s="1048"/>
      <c r="AM265" s="1048"/>
      <c r="AN265" s="1048"/>
      <c r="AO265" s="1048"/>
      <c r="AP265" s="1048"/>
      <c r="AQ265" s="1048"/>
    </row>
    <row r="266" spans="2:43" x14ac:dyDescent="0.25">
      <c r="B266" s="1064"/>
      <c r="C266" s="1065"/>
      <c r="D266" s="1064"/>
      <c r="E266" s="1067"/>
      <c r="F266" s="1067"/>
      <c r="G266" s="1052"/>
      <c r="H266" s="1055"/>
      <c r="I266" s="1055"/>
      <c r="J266" s="1114" t="str">
        <f t="shared" si="16"/>
        <v/>
      </c>
      <c r="K266" s="1055"/>
      <c r="L266" s="1055"/>
      <c r="M266" s="1115" t="str">
        <f t="shared" si="17"/>
        <v/>
      </c>
      <c r="N266" s="1055"/>
      <c r="O266" s="1055"/>
      <c r="P266" s="1115" t="str">
        <f t="shared" si="18"/>
        <v/>
      </c>
      <c r="Q266" s="1055"/>
      <c r="R266" s="1055"/>
      <c r="S266" s="1115" t="str">
        <f t="shared" si="19"/>
        <v/>
      </c>
      <c r="T266" s="1054"/>
      <c r="U266" s="1055"/>
      <c r="V266" s="1253" t="str">
        <f t="shared" si="20"/>
        <v/>
      </c>
      <c r="W266" s="1048"/>
      <c r="X266" s="1048"/>
      <c r="Y266" s="1048"/>
      <c r="Z266" s="1048"/>
      <c r="AA266" s="1048"/>
      <c r="AB266" s="1048"/>
      <c r="AC266" s="1048"/>
      <c r="AD266" s="1048"/>
      <c r="AE266" s="1048"/>
      <c r="AF266" s="1048"/>
      <c r="AG266" s="1048"/>
      <c r="AH266" s="1048"/>
      <c r="AI266" s="1048"/>
      <c r="AJ266" s="1048"/>
      <c r="AK266" s="1048"/>
      <c r="AL266" s="1048"/>
      <c r="AM266" s="1048"/>
      <c r="AN266" s="1048"/>
      <c r="AO266" s="1048"/>
      <c r="AP266" s="1048"/>
      <c r="AQ266" s="1048"/>
    </row>
    <row r="267" spans="2:43" x14ac:dyDescent="0.25">
      <c r="B267" s="1064"/>
      <c r="C267" s="1065"/>
      <c r="D267" s="1064"/>
      <c r="E267" s="1067"/>
      <c r="F267" s="1067"/>
      <c r="G267" s="1052"/>
      <c r="H267" s="1055"/>
      <c r="I267" s="1055"/>
      <c r="J267" s="1114" t="str">
        <f t="shared" si="16"/>
        <v/>
      </c>
      <c r="K267" s="1055"/>
      <c r="L267" s="1055"/>
      <c r="M267" s="1115" t="str">
        <f t="shared" si="17"/>
        <v/>
      </c>
      <c r="N267" s="1055"/>
      <c r="O267" s="1055"/>
      <c r="P267" s="1115" t="str">
        <f t="shared" si="18"/>
        <v/>
      </c>
      <c r="Q267" s="1055"/>
      <c r="R267" s="1055"/>
      <c r="S267" s="1115" t="str">
        <f t="shared" si="19"/>
        <v/>
      </c>
      <c r="T267" s="1054"/>
      <c r="U267" s="1055"/>
      <c r="V267" s="1253" t="str">
        <f t="shared" si="20"/>
        <v/>
      </c>
      <c r="W267" s="1048"/>
      <c r="X267" s="1048"/>
      <c r="Y267" s="1048"/>
      <c r="Z267" s="1048"/>
      <c r="AA267" s="1048"/>
      <c r="AB267" s="1048"/>
      <c r="AC267" s="1048"/>
      <c r="AD267" s="1048"/>
      <c r="AE267" s="1048"/>
      <c r="AF267" s="1048"/>
      <c r="AG267" s="1048"/>
      <c r="AH267" s="1048"/>
      <c r="AI267" s="1048"/>
      <c r="AJ267" s="1048"/>
      <c r="AK267" s="1048"/>
      <c r="AL267" s="1048"/>
      <c r="AM267" s="1048"/>
      <c r="AN267" s="1048"/>
      <c r="AO267" s="1048"/>
      <c r="AP267" s="1048"/>
      <c r="AQ267" s="1048"/>
    </row>
    <row r="268" spans="2:43" x14ac:dyDescent="0.25">
      <c r="B268" s="1064"/>
      <c r="C268" s="1065"/>
      <c r="D268" s="1064"/>
      <c r="E268" s="1067"/>
      <c r="F268" s="1067"/>
      <c r="G268" s="1052"/>
      <c r="H268" s="1055"/>
      <c r="I268" s="1055"/>
      <c r="J268" s="1114" t="str">
        <f t="shared" si="16"/>
        <v/>
      </c>
      <c r="K268" s="1055"/>
      <c r="L268" s="1055"/>
      <c r="M268" s="1115" t="str">
        <f t="shared" si="17"/>
        <v/>
      </c>
      <c r="N268" s="1055"/>
      <c r="O268" s="1055"/>
      <c r="P268" s="1115" t="str">
        <f t="shared" si="18"/>
        <v/>
      </c>
      <c r="Q268" s="1055"/>
      <c r="R268" s="1055"/>
      <c r="S268" s="1115" t="str">
        <f t="shared" si="19"/>
        <v/>
      </c>
      <c r="T268" s="1054"/>
      <c r="U268" s="1055"/>
      <c r="V268" s="1253" t="str">
        <f t="shared" si="20"/>
        <v/>
      </c>
      <c r="W268" s="1048"/>
      <c r="X268" s="1048"/>
      <c r="Y268" s="1048"/>
      <c r="Z268" s="1048"/>
      <c r="AA268" s="1048"/>
      <c r="AB268" s="1048"/>
      <c r="AC268" s="1048"/>
      <c r="AD268" s="1048"/>
      <c r="AE268" s="1048"/>
      <c r="AF268" s="1048"/>
      <c r="AG268" s="1048"/>
      <c r="AH268" s="1048"/>
      <c r="AI268" s="1048"/>
      <c r="AJ268" s="1048"/>
      <c r="AK268" s="1048"/>
      <c r="AL268" s="1048"/>
      <c r="AM268" s="1048"/>
      <c r="AN268" s="1048"/>
      <c r="AO268" s="1048"/>
      <c r="AP268" s="1048"/>
      <c r="AQ268" s="1048"/>
    </row>
    <row r="269" spans="2:43" x14ac:dyDescent="0.25">
      <c r="B269" s="1064"/>
      <c r="C269" s="1065"/>
      <c r="D269" s="1064"/>
      <c r="E269" s="1067"/>
      <c r="F269" s="1067"/>
      <c r="G269" s="1052"/>
      <c r="H269" s="1055"/>
      <c r="I269" s="1055"/>
      <c r="J269" s="1114" t="str">
        <f t="shared" si="16"/>
        <v/>
      </c>
      <c r="K269" s="1055"/>
      <c r="L269" s="1055"/>
      <c r="M269" s="1115" t="str">
        <f t="shared" si="17"/>
        <v/>
      </c>
      <c r="N269" s="1055"/>
      <c r="O269" s="1055"/>
      <c r="P269" s="1115" t="str">
        <f t="shared" si="18"/>
        <v/>
      </c>
      <c r="Q269" s="1055"/>
      <c r="R269" s="1055"/>
      <c r="S269" s="1115" t="str">
        <f t="shared" si="19"/>
        <v/>
      </c>
      <c r="T269" s="1054"/>
      <c r="U269" s="1055"/>
      <c r="V269" s="1253" t="str">
        <f t="shared" si="20"/>
        <v/>
      </c>
      <c r="W269" s="1048"/>
      <c r="X269" s="1048"/>
      <c r="Y269" s="1048"/>
      <c r="Z269" s="1048"/>
      <c r="AA269" s="1048"/>
      <c r="AB269" s="1048"/>
      <c r="AC269" s="1048"/>
      <c r="AD269" s="1048"/>
      <c r="AE269" s="1048"/>
      <c r="AF269" s="1048"/>
      <c r="AG269" s="1048"/>
      <c r="AH269" s="1048"/>
      <c r="AI269" s="1048"/>
      <c r="AJ269" s="1048"/>
      <c r="AK269" s="1048"/>
      <c r="AL269" s="1048"/>
      <c r="AM269" s="1048"/>
      <c r="AN269" s="1048"/>
      <c r="AO269" s="1048"/>
      <c r="AP269" s="1048"/>
      <c r="AQ269" s="1048"/>
    </row>
    <row r="270" spans="2:43" x14ac:dyDescent="0.25">
      <c r="B270" s="1064"/>
      <c r="C270" s="1065"/>
      <c r="D270" s="1064"/>
      <c r="E270" s="1067"/>
      <c r="F270" s="1067"/>
      <c r="G270" s="1052"/>
      <c r="H270" s="1055"/>
      <c r="I270" s="1055"/>
      <c r="J270" s="1114" t="str">
        <f t="shared" si="16"/>
        <v/>
      </c>
      <c r="K270" s="1055"/>
      <c r="L270" s="1055"/>
      <c r="M270" s="1115" t="str">
        <f t="shared" si="17"/>
        <v/>
      </c>
      <c r="N270" s="1055"/>
      <c r="O270" s="1055"/>
      <c r="P270" s="1115" t="str">
        <f t="shared" si="18"/>
        <v/>
      </c>
      <c r="Q270" s="1055"/>
      <c r="R270" s="1055"/>
      <c r="S270" s="1115" t="str">
        <f t="shared" si="19"/>
        <v/>
      </c>
      <c r="T270" s="1054"/>
      <c r="U270" s="1055"/>
      <c r="V270" s="1253" t="str">
        <f t="shared" si="20"/>
        <v/>
      </c>
      <c r="W270" s="1048"/>
      <c r="X270" s="1048"/>
      <c r="Y270" s="1048"/>
      <c r="Z270" s="1048"/>
      <c r="AA270" s="1048"/>
      <c r="AB270" s="1048"/>
      <c r="AC270" s="1048"/>
      <c r="AD270" s="1048"/>
      <c r="AE270" s="1048"/>
      <c r="AF270" s="1048"/>
      <c r="AG270" s="1048"/>
      <c r="AH270" s="1048"/>
      <c r="AI270" s="1048"/>
      <c r="AJ270" s="1048"/>
      <c r="AK270" s="1048"/>
      <c r="AL270" s="1048"/>
      <c r="AM270" s="1048"/>
      <c r="AN270" s="1048"/>
      <c r="AO270" s="1048"/>
      <c r="AP270" s="1048"/>
      <c r="AQ270" s="1048"/>
    </row>
    <row r="271" spans="2:43" x14ac:dyDescent="0.25">
      <c r="B271" s="1064"/>
      <c r="C271" s="1065"/>
      <c r="D271" s="1064"/>
      <c r="E271" s="1067"/>
      <c r="F271" s="1067"/>
      <c r="G271" s="1052"/>
      <c r="H271" s="1055"/>
      <c r="I271" s="1055"/>
      <c r="J271" s="1114" t="str">
        <f t="shared" si="16"/>
        <v/>
      </c>
      <c r="K271" s="1055"/>
      <c r="L271" s="1055"/>
      <c r="M271" s="1115" t="str">
        <f t="shared" si="17"/>
        <v/>
      </c>
      <c r="N271" s="1055"/>
      <c r="O271" s="1055"/>
      <c r="P271" s="1115" t="str">
        <f t="shared" si="18"/>
        <v/>
      </c>
      <c r="Q271" s="1055"/>
      <c r="R271" s="1055"/>
      <c r="S271" s="1115" t="str">
        <f t="shared" si="19"/>
        <v/>
      </c>
      <c r="T271" s="1054"/>
      <c r="U271" s="1055"/>
      <c r="V271" s="1253" t="str">
        <f t="shared" si="20"/>
        <v/>
      </c>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row>
    <row r="272" spans="2:43" x14ac:dyDescent="0.25">
      <c r="B272" s="1064"/>
      <c r="C272" s="1065"/>
      <c r="D272" s="1064"/>
      <c r="E272" s="1067"/>
      <c r="F272" s="1067"/>
      <c r="G272" s="1052"/>
      <c r="H272" s="1055"/>
      <c r="I272" s="1055"/>
      <c r="J272" s="1114" t="str">
        <f t="shared" si="16"/>
        <v/>
      </c>
      <c r="K272" s="1055"/>
      <c r="L272" s="1055"/>
      <c r="M272" s="1115" t="str">
        <f t="shared" si="17"/>
        <v/>
      </c>
      <c r="N272" s="1055"/>
      <c r="O272" s="1055"/>
      <c r="P272" s="1115" t="str">
        <f t="shared" si="18"/>
        <v/>
      </c>
      <c r="Q272" s="1055"/>
      <c r="R272" s="1055"/>
      <c r="S272" s="1115" t="str">
        <f t="shared" si="19"/>
        <v/>
      </c>
      <c r="T272" s="1054"/>
      <c r="U272" s="1055"/>
      <c r="V272" s="1253" t="str">
        <f t="shared" si="20"/>
        <v/>
      </c>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row>
    <row r="273" spans="2:43" x14ac:dyDescent="0.25">
      <c r="B273" s="1064"/>
      <c r="C273" s="1065"/>
      <c r="D273" s="1064"/>
      <c r="E273" s="1070"/>
      <c r="F273" s="1070"/>
      <c r="G273" s="1052"/>
      <c r="H273" s="1055"/>
      <c r="I273" s="1055"/>
      <c r="J273" s="1114" t="str">
        <f t="shared" si="16"/>
        <v/>
      </c>
      <c r="K273" s="1055"/>
      <c r="L273" s="1055"/>
      <c r="M273" s="1115" t="str">
        <f t="shared" si="17"/>
        <v/>
      </c>
      <c r="N273" s="1055"/>
      <c r="O273" s="1055"/>
      <c r="P273" s="1115" t="str">
        <f t="shared" si="18"/>
        <v/>
      </c>
      <c r="Q273" s="1055"/>
      <c r="R273" s="1055"/>
      <c r="S273" s="1115" t="str">
        <f t="shared" si="19"/>
        <v/>
      </c>
      <c r="T273" s="1054"/>
      <c r="U273" s="1055"/>
      <c r="V273" s="1253" t="str">
        <f t="shared" si="20"/>
        <v/>
      </c>
      <c r="W273" s="1048"/>
      <c r="X273" s="1048"/>
      <c r="Y273" s="1048"/>
      <c r="Z273" s="1048"/>
      <c r="AA273" s="1048"/>
      <c r="AB273" s="1048"/>
      <c r="AC273" s="1048"/>
      <c r="AD273" s="1048"/>
      <c r="AE273" s="1048"/>
      <c r="AF273" s="1048"/>
      <c r="AG273" s="1048"/>
      <c r="AH273" s="1048"/>
      <c r="AI273" s="1048"/>
      <c r="AJ273" s="1048"/>
      <c r="AK273" s="1048"/>
      <c r="AL273" s="1048"/>
      <c r="AM273" s="1048"/>
      <c r="AN273" s="1048"/>
      <c r="AO273" s="1048"/>
      <c r="AP273" s="1048"/>
      <c r="AQ273" s="1048"/>
    </row>
    <row r="274" spans="2:43" x14ac:dyDescent="0.25">
      <c r="B274" s="1064"/>
      <c r="C274" s="1065"/>
      <c r="D274" s="1064"/>
      <c r="E274" s="1070"/>
      <c r="F274" s="1070"/>
      <c r="G274" s="1052"/>
      <c r="H274" s="1055"/>
      <c r="I274" s="1055"/>
      <c r="J274" s="1114" t="str">
        <f t="shared" si="16"/>
        <v/>
      </c>
      <c r="K274" s="1055"/>
      <c r="L274" s="1055"/>
      <c r="M274" s="1115" t="str">
        <f t="shared" si="17"/>
        <v/>
      </c>
      <c r="N274" s="1055"/>
      <c r="O274" s="1055"/>
      <c r="P274" s="1115" t="str">
        <f t="shared" si="18"/>
        <v/>
      </c>
      <c r="Q274" s="1055"/>
      <c r="R274" s="1055"/>
      <c r="S274" s="1115" t="str">
        <f t="shared" si="19"/>
        <v/>
      </c>
      <c r="T274" s="1054"/>
      <c r="U274" s="1055"/>
      <c r="V274" s="1253" t="str">
        <f t="shared" si="20"/>
        <v/>
      </c>
      <c r="W274" s="1048"/>
      <c r="X274" s="1048"/>
      <c r="Y274" s="1048"/>
      <c r="Z274" s="1048"/>
      <c r="AA274" s="1048"/>
      <c r="AB274" s="1048"/>
      <c r="AC274" s="1048"/>
      <c r="AD274" s="1048"/>
      <c r="AE274" s="1048"/>
      <c r="AF274" s="1048"/>
      <c r="AG274" s="1048"/>
      <c r="AH274" s="1048"/>
      <c r="AI274" s="1048"/>
      <c r="AJ274" s="1048"/>
      <c r="AK274" s="1048"/>
      <c r="AL274" s="1048"/>
      <c r="AM274" s="1048"/>
      <c r="AN274" s="1048"/>
      <c r="AO274" s="1048"/>
      <c r="AP274" s="1048"/>
      <c r="AQ274" s="1048"/>
    </row>
    <row r="275" spans="2:43" x14ac:dyDescent="0.25">
      <c r="B275" s="1064"/>
      <c r="C275" s="1065"/>
      <c r="D275" s="1064"/>
      <c r="E275" s="1070"/>
      <c r="F275" s="1070"/>
      <c r="G275" s="1052"/>
      <c r="H275" s="1055"/>
      <c r="I275" s="1055"/>
      <c r="J275" s="1114" t="str">
        <f t="shared" si="16"/>
        <v/>
      </c>
      <c r="K275" s="1055"/>
      <c r="L275" s="1055"/>
      <c r="M275" s="1115" t="str">
        <f t="shared" si="17"/>
        <v/>
      </c>
      <c r="N275" s="1055"/>
      <c r="O275" s="1055"/>
      <c r="P275" s="1115" t="str">
        <f t="shared" si="18"/>
        <v/>
      </c>
      <c r="Q275" s="1055"/>
      <c r="R275" s="1055"/>
      <c r="S275" s="1115" t="str">
        <f t="shared" si="19"/>
        <v/>
      </c>
      <c r="T275" s="1054"/>
      <c r="U275" s="1055"/>
      <c r="V275" s="1253" t="str">
        <f t="shared" si="20"/>
        <v/>
      </c>
      <c r="W275" s="1048"/>
      <c r="X275" s="1048"/>
      <c r="Y275" s="1048"/>
      <c r="Z275" s="1048"/>
      <c r="AA275" s="1048"/>
      <c r="AB275" s="1048"/>
      <c r="AC275" s="1048"/>
      <c r="AD275" s="1048"/>
      <c r="AE275" s="1048"/>
      <c r="AF275" s="1048"/>
      <c r="AG275" s="1048"/>
      <c r="AH275" s="1048"/>
      <c r="AI275" s="1048"/>
      <c r="AJ275" s="1048"/>
      <c r="AK275" s="1048"/>
      <c r="AL275" s="1048"/>
      <c r="AM275" s="1048"/>
      <c r="AN275" s="1048"/>
      <c r="AO275" s="1048"/>
      <c r="AP275" s="1048"/>
      <c r="AQ275" s="1048"/>
    </row>
    <row r="276" spans="2:43" x14ac:dyDescent="0.25">
      <c r="B276" s="1064"/>
      <c r="C276" s="1065"/>
      <c r="D276" s="1064"/>
      <c r="E276" s="1070"/>
      <c r="F276" s="1070"/>
      <c r="G276" s="1052"/>
      <c r="H276" s="1055"/>
      <c r="I276" s="1055"/>
      <c r="J276" s="1114" t="str">
        <f t="shared" si="16"/>
        <v/>
      </c>
      <c r="K276" s="1055"/>
      <c r="L276" s="1055"/>
      <c r="M276" s="1115" t="str">
        <f t="shared" si="17"/>
        <v/>
      </c>
      <c r="N276" s="1055"/>
      <c r="O276" s="1055"/>
      <c r="P276" s="1115" t="str">
        <f t="shared" si="18"/>
        <v/>
      </c>
      <c r="Q276" s="1055"/>
      <c r="R276" s="1055"/>
      <c r="S276" s="1115" t="str">
        <f t="shared" si="19"/>
        <v/>
      </c>
      <c r="T276" s="1054"/>
      <c r="U276" s="1055"/>
      <c r="V276" s="1253" t="str">
        <f t="shared" si="20"/>
        <v/>
      </c>
      <c r="W276" s="1048"/>
      <c r="X276" s="1048"/>
      <c r="Y276" s="1048"/>
      <c r="Z276" s="1048"/>
      <c r="AA276" s="1048"/>
      <c r="AB276" s="1048"/>
      <c r="AC276" s="1048"/>
      <c r="AD276" s="1048"/>
      <c r="AE276" s="1048"/>
      <c r="AF276" s="1048"/>
      <c r="AG276" s="1048"/>
      <c r="AH276" s="1048"/>
      <c r="AI276" s="1048"/>
      <c r="AJ276" s="1048"/>
      <c r="AK276" s="1048"/>
      <c r="AL276" s="1048"/>
      <c r="AM276" s="1048"/>
      <c r="AN276" s="1048"/>
      <c r="AO276" s="1048"/>
      <c r="AP276" s="1048"/>
      <c r="AQ276" s="1048"/>
    </row>
    <row r="277" spans="2:43" x14ac:dyDescent="0.25">
      <c r="B277" s="1064"/>
      <c r="C277" s="1065"/>
      <c r="D277" s="1064"/>
      <c r="E277" s="1070"/>
      <c r="F277" s="1070"/>
      <c r="G277" s="1052"/>
      <c r="H277" s="1055"/>
      <c r="I277" s="1055"/>
      <c r="J277" s="1114" t="str">
        <f t="shared" si="16"/>
        <v/>
      </c>
      <c r="K277" s="1055"/>
      <c r="L277" s="1055"/>
      <c r="M277" s="1115" t="str">
        <f t="shared" si="17"/>
        <v/>
      </c>
      <c r="N277" s="1055"/>
      <c r="O277" s="1055"/>
      <c r="P277" s="1115" t="str">
        <f t="shared" si="18"/>
        <v/>
      </c>
      <c r="Q277" s="1055"/>
      <c r="R277" s="1055"/>
      <c r="S277" s="1115" t="str">
        <f t="shared" si="19"/>
        <v/>
      </c>
      <c r="T277" s="1054"/>
      <c r="U277" s="1055"/>
      <c r="V277" s="1253" t="str">
        <f t="shared" si="20"/>
        <v/>
      </c>
      <c r="W277" s="1048"/>
      <c r="X277" s="1048"/>
      <c r="Y277" s="1048"/>
      <c r="Z277" s="1048"/>
      <c r="AA277" s="1048"/>
      <c r="AB277" s="1048"/>
      <c r="AC277" s="1048"/>
      <c r="AD277" s="1048"/>
      <c r="AE277" s="1048"/>
      <c r="AF277" s="1048"/>
      <c r="AG277" s="1048"/>
      <c r="AH277" s="1048"/>
      <c r="AI277" s="1048"/>
      <c r="AJ277" s="1048"/>
      <c r="AK277" s="1048"/>
      <c r="AL277" s="1048"/>
      <c r="AM277" s="1048"/>
      <c r="AN277" s="1048"/>
      <c r="AO277" s="1048"/>
      <c r="AP277" s="1048"/>
      <c r="AQ277" s="1048"/>
    </row>
    <row r="278" spans="2:43" x14ac:dyDescent="0.25">
      <c r="B278" s="1064"/>
      <c r="C278" s="1065"/>
      <c r="D278" s="1064"/>
      <c r="E278" s="1070"/>
      <c r="F278" s="1070"/>
      <c r="G278" s="1052"/>
      <c r="H278" s="1055"/>
      <c r="I278" s="1055"/>
      <c r="J278" s="1114" t="str">
        <f t="shared" si="16"/>
        <v/>
      </c>
      <c r="K278" s="1055"/>
      <c r="L278" s="1055"/>
      <c r="M278" s="1115" t="str">
        <f t="shared" si="17"/>
        <v/>
      </c>
      <c r="N278" s="1055"/>
      <c r="O278" s="1055"/>
      <c r="P278" s="1115" t="str">
        <f t="shared" si="18"/>
        <v/>
      </c>
      <c r="Q278" s="1055"/>
      <c r="R278" s="1055"/>
      <c r="S278" s="1115" t="str">
        <f t="shared" si="19"/>
        <v/>
      </c>
      <c r="T278" s="1054"/>
      <c r="U278" s="1055"/>
      <c r="V278" s="1253" t="str">
        <f t="shared" si="20"/>
        <v/>
      </c>
      <c r="W278" s="1048"/>
      <c r="X278" s="1048"/>
      <c r="Y278" s="1048"/>
      <c r="Z278" s="1048"/>
      <c r="AA278" s="1048"/>
      <c r="AB278" s="1048"/>
      <c r="AC278" s="1048"/>
      <c r="AD278" s="1048"/>
      <c r="AE278" s="1048"/>
      <c r="AF278" s="1048"/>
      <c r="AG278" s="1048"/>
      <c r="AH278" s="1048"/>
      <c r="AI278" s="1048"/>
      <c r="AJ278" s="1048"/>
      <c r="AK278" s="1048"/>
      <c r="AL278" s="1048"/>
      <c r="AM278" s="1048"/>
      <c r="AN278" s="1048"/>
      <c r="AO278" s="1048"/>
      <c r="AP278" s="1048"/>
      <c r="AQ278" s="1048"/>
    </row>
    <row r="279" spans="2:43" x14ac:dyDescent="0.25">
      <c r="B279" s="1064"/>
      <c r="C279" s="1065"/>
      <c r="D279" s="1064"/>
      <c r="E279" s="1070"/>
      <c r="F279" s="1070"/>
      <c r="G279" s="1052"/>
      <c r="H279" s="1055"/>
      <c r="I279" s="1055"/>
      <c r="J279" s="1114" t="str">
        <f t="shared" si="16"/>
        <v/>
      </c>
      <c r="K279" s="1055"/>
      <c r="L279" s="1055"/>
      <c r="M279" s="1115" t="str">
        <f t="shared" si="17"/>
        <v/>
      </c>
      <c r="N279" s="1055"/>
      <c r="O279" s="1055"/>
      <c r="P279" s="1115" t="str">
        <f t="shared" si="18"/>
        <v/>
      </c>
      <c r="Q279" s="1055"/>
      <c r="R279" s="1055"/>
      <c r="S279" s="1115" t="str">
        <f t="shared" si="19"/>
        <v/>
      </c>
      <c r="T279" s="1054"/>
      <c r="U279" s="1055"/>
      <c r="V279" s="1253" t="str">
        <f t="shared" si="20"/>
        <v/>
      </c>
      <c r="W279" s="1048"/>
      <c r="X279" s="1048"/>
      <c r="Y279" s="1048"/>
      <c r="Z279" s="1048"/>
      <c r="AA279" s="1048"/>
      <c r="AB279" s="1048"/>
      <c r="AC279" s="1048"/>
      <c r="AD279" s="1048"/>
      <c r="AE279" s="1048"/>
      <c r="AF279" s="1048"/>
      <c r="AG279" s="1048"/>
      <c r="AH279" s="1048"/>
      <c r="AI279" s="1048"/>
      <c r="AJ279" s="1048"/>
      <c r="AK279" s="1048"/>
      <c r="AL279" s="1048"/>
      <c r="AM279" s="1048"/>
      <c r="AN279" s="1048"/>
      <c r="AO279" s="1048"/>
      <c r="AP279" s="1048"/>
      <c r="AQ279" s="1048"/>
    </row>
    <row r="280" spans="2:43" x14ac:dyDescent="0.25">
      <c r="B280" s="1064"/>
      <c r="C280" s="1065"/>
      <c r="D280" s="1064"/>
      <c r="E280" s="1070"/>
      <c r="F280" s="1070"/>
      <c r="G280" s="1052"/>
      <c r="H280" s="1055"/>
      <c r="I280" s="1055"/>
      <c r="J280" s="1114" t="str">
        <f t="shared" si="16"/>
        <v/>
      </c>
      <c r="K280" s="1055"/>
      <c r="L280" s="1055"/>
      <c r="M280" s="1115" t="str">
        <f t="shared" si="17"/>
        <v/>
      </c>
      <c r="N280" s="1055"/>
      <c r="O280" s="1055"/>
      <c r="P280" s="1115" t="str">
        <f t="shared" si="18"/>
        <v/>
      </c>
      <c r="Q280" s="1055"/>
      <c r="R280" s="1055"/>
      <c r="S280" s="1115" t="str">
        <f t="shared" si="19"/>
        <v/>
      </c>
      <c r="T280" s="1054"/>
      <c r="U280" s="1055"/>
      <c r="V280" s="1253" t="str">
        <f t="shared" si="20"/>
        <v/>
      </c>
      <c r="W280" s="1048"/>
      <c r="X280" s="1048"/>
      <c r="Y280" s="1048"/>
      <c r="Z280" s="1048"/>
      <c r="AA280" s="1048"/>
      <c r="AB280" s="1048"/>
      <c r="AC280" s="1048"/>
      <c r="AD280" s="1048"/>
      <c r="AE280" s="1048"/>
      <c r="AF280" s="1048"/>
      <c r="AG280" s="1048"/>
      <c r="AH280" s="1048"/>
      <c r="AI280" s="1048"/>
      <c r="AJ280" s="1048"/>
      <c r="AK280" s="1048"/>
      <c r="AL280" s="1048"/>
      <c r="AM280" s="1048"/>
      <c r="AN280" s="1048"/>
      <c r="AO280" s="1048"/>
      <c r="AP280" s="1048"/>
      <c r="AQ280" s="1048"/>
    </row>
    <row r="281" spans="2:43" x14ac:dyDescent="0.25">
      <c r="B281" s="1064"/>
      <c r="C281" s="1065"/>
      <c r="D281" s="1064"/>
      <c r="E281" s="1070"/>
      <c r="F281" s="1070"/>
      <c r="G281" s="1052"/>
      <c r="H281" s="1055"/>
      <c r="I281" s="1055"/>
      <c r="J281" s="1114" t="str">
        <f t="shared" si="16"/>
        <v/>
      </c>
      <c r="K281" s="1055"/>
      <c r="L281" s="1055"/>
      <c r="M281" s="1115" t="str">
        <f t="shared" si="17"/>
        <v/>
      </c>
      <c r="N281" s="1055"/>
      <c r="O281" s="1055"/>
      <c r="P281" s="1115" t="str">
        <f t="shared" si="18"/>
        <v/>
      </c>
      <c r="Q281" s="1055"/>
      <c r="R281" s="1055"/>
      <c r="S281" s="1115" t="str">
        <f t="shared" si="19"/>
        <v/>
      </c>
      <c r="T281" s="1054"/>
      <c r="U281" s="1055"/>
      <c r="V281" s="1253" t="str">
        <f t="shared" si="20"/>
        <v/>
      </c>
      <c r="W281" s="1048"/>
      <c r="X281" s="1048"/>
      <c r="Y281" s="1048"/>
      <c r="Z281" s="1048"/>
      <c r="AA281" s="1048"/>
      <c r="AB281" s="1048"/>
      <c r="AC281" s="1048"/>
      <c r="AD281" s="1048"/>
      <c r="AE281" s="1048"/>
      <c r="AF281" s="1048"/>
      <c r="AG281" s="1048"/>
      <c r="AH281" s="1048"/>
      <c r="AI281" s="1048"/>
      <c r="AJ281" s="1048"/>
      <c r="AK281" s="1048"/>
      <c r="AL281" s="1048"/>
      <c r="AM281" s="1048"/>
      <c r="AN281" s="1048"/>
      <c r="AO281" s="1048"/>
      <c r="AP281" s="1048"/>
      <c r="AQ281" s="1048"/>
    </row>
    <row r="282" spans="2:43" x14ac:dyDescent="0.25">
      <c r="B282" s="1064"/>
      <c r="C282" s="1065"/>
      <c r="D282" s="1064"/>
      <c r="E282" s="1070"/>
      <c r="F282" s="1070"/>
      <c r="G282" s="1052"/>
      <c r="H282" s="1055"/>
      <c r="I282" s="1055"/>
      <c r="J282" s="1114" t="str">
        <f t="shared" ref="J282:J345" si="21">IF(AND(H282=0,I282=0),"",IF(I282&lt;&gt;0,IF(I282&gt;H282,100,I282/H282*100),0))</f>
        <v/>
      </c>
      <c r="K282" s="1055"/>
      <c r="L282" s="1055"/>
      <c r="M282" s="1115" t="str">
        <f t="shared" ref="M282:M345" si="22">IF(AND(K282=0,L282=0),"",IF(L282&lt;&gt;0,IF(L282&gt;K282,100,L282/K282*100),0))</f>
        <v/>
      </c>
      <c r="N282" s="1055"/>
      <c r="O282" s="1055"/>
      <c r="P282" s="1115" t="str">
        <f t="shared" ref="P282:P345" si="23">IF(AND(N282=0,O282=0),"",IF(O282&lt;&gt;0,IF(O282&gt;N282,100,O282/N282*100),0))</f>
        <v/>
      </c>
      <c r="Q282" s="1055"/>
      <c r="R282" s="1055"/>
      <c r="S282" s="1115" t="str">
        <f t="shared" ref="S282:S345" si="24">IF(AND(Q282=0,R282=0),"",IF(R282&lt;&gt;0,IF(R282&lt;=Q282,100,100-(R282-Q282)),0))</f>
        <v/>
      </c>
      <c r="T282" s="1054"/>
      <c r="U282" s="1055"/>
      <c r="V282" s="1253" t="str">
        <f t="shared" ref="V282:V345" si="25">IF(AND(T282=0,U282=0),"",IF(U282&lt;&gt;0,IF(U282&gt;T282,100,U282/T282*100),0))</f>
        <v/>
      </c>
      <c r="W282" s="1048"/>
      <c r="X282" s="1048"/>
      <c r="Y282" s="1048"/>
      <c r="Z282" s="1048"/>
      <c r="AA282" s="1048"/>
      <c r="AB282" s="1048"/>
      <c r="AC282" s="1048"/>
      <c r="AD282" s="1048"/>
      <c r="AE282" s="1048"/>
      <c r="AF282" s="1048"/>
      <c r="AG282" s="1048"/>
      <c r="AH282" s="1048"/>
      <c r="AI282" s="1048"/>
      <c r="AJ282" s="1048"/>
      <c r="AK282" s="1048"/>
      <c r="AL282" s="1048"/>
      <c r="AM282" s="1048"/>
      <c r="AN282" s="1048"/>
      <c r="AO282" s="1048"/>
      <c r="AP282" s="1048"/>
      <c r="AQ282" s="1048"/>
    </row>
    <row r="283" spans="2:43" x14ac:dyDescent="0.25">
      <c r="B283" s="1064"/>
      <c r="C283" s="1065"/>
      <c r="D283" s="1064"/>
      <c r="E283" s="1071"/>
      <c r="F283" s="1071"/>
      <c r="G283" s="1052"/>
      <c r="H283" s="1055"/>
      <c r="I283" s="1055"/>
      <c r="J283" s="1114" t="str">
        <f t="shared" si="21"/>
        <v/>
      </c>
      <c r="K283" s="1055"/>
      <c r="L283" s="1055"/>
      <c r="M283" s="1115" t="str">
        <f t="shared" si="22"/>
        <v/>
      </c>
      <c r="N283" s="1055"/>
      <c r="O283" s="1055"/>
      <c r="P283" s="1115" t="str">
        <f t="shared" si="23"/>
        <v/>
      </c>
      <c r="Q283" s="1055"/>
      <c r="R283" s="1055"/>
      <c r="S283" s="1115" t="str">
        <f t="shared" si="24"/>
        <v/>
      </c>
      <c r="T283" s="1054"/>
      <c r="U283" s="1055"/>
      <c r="V283" s="1253" t="str">
        <f t="shared" si="25"/>
        <v/>
      </c>
      <c r="W283" s="1048"/>
      <c r="X283" s="1048"/>
      <c r="Y283" s="1048"/>
      <c r="Z283" s="1048"/>
      <c r="AA283" s="1048"/>
      <c r="AB283" s="1048"/>
      <c r="AC283" s="1048"/>
      <c r="AD283" s="1048"/>
      <c r="AE283" s="1048"/>
      <c r="AF283" s="1048"/>
      <c r="AG283" s="1048"/>
      <c r="AH283" s="1048"/>
      <c r="AI283" s="1048"/>
      <c r="AJ283" s="1048"/>
      <c r="AK283" s="1048"/>
      <c r="AL283" s="1048"/>
      <c r="AM283" s="1048"/>
      <c r="AN283" s="1048"/>
      <c r="AO283" s="1048"/>
      <c r="AP283" s="1048"/>
      <c r="AQ283" s="1048"/>
    </row>
    <row r="284" spans="2:43" x14ac:dyDescent="0.25">
      <c r="B284" s="1064"/>
      <c r="C284" s="1065"/>
      <c r="D284" s="1064"/>
      <c r="E284" s="1071"/>
      <c r="F284" s="1071"/>
      <c r="G284" s="1052"/>
      <c r="H284" s="1055"/>
      <c r="I284" s="1055"/>
      <c r="J284" s="1114" t="str">
        <f t="shared" si="21"/>
        <v/>
      </c>
      <c r="K284" s="1055"/>
      <c r="L284" s="1055"/>
      <c r="M284" s="1115" t="str">
        <f t="shared" si="22"/>
        <v/>
      </c>
      <c r="N284" s="1055"/>
      <c r="O284" s="1055"/>
      <c r="P284" s="1115" t="str">
        <f t="shared" si="23"/>
        <v/>
      </c>
      <c r="Q284" s="1055"/>
      <c r="R284" s="1055"/>
      <c r="S284" s="1115" t="str">
        <f t="shared" si="24"/>
        <v/>
      </c>
      <c r="T284" s="1054"/>
      <c r="U284" s="1055"/>
      <c r="V284" s="1253" t="str">
        <f t="shared" si="25"/>
        <v/>
      </c>
      <c r="W284" s="1048"/>
      <c r="X284" s="1048"/>
      <c r="Y284" s="1048"/>
      <c r="Z284" s="1048"/>
      <c r="AA284" s="1048"/>
      <c r="AB284" s="1048"/>
      <c r="AC284" s="1048"/>
      <c r="AD284" s="1048"/>
      <c r="AE284" s="1048"/>
      <c r="AF284" s="1048"/>
      <c r="AG284" s="1048"/>
      <c r="AH284" s="1048"/>
      <c r="AI284" s="1048"/>
      <c r="AJ284" s="1048"/>
      <c r="AK284" s="1048"/>
      <c r="AL284" s="1048"/>
      <c r="AM284" s="1048"/>
      <c r="AN284" s="1048"/>
      <c r="AO284" s="1048"/>
      <c r="AP284" s="1048"/>
      <c r="AQ284" s="1048"/>
    </row>
    <row r="285" spans="2:43" x14ac:dyDescent="0.25">
      <c r="B285" s="1064"/>
      <c r="C285" s="1065"/>
      <c r="D285" s="1064"/>
      <c r="E285" s="1072"/>
      <c r="F285" s="1072"/>
      <c r="G285" s="1052"/>
      <c r="H285" s="1055"/>
      <c r="I285" s="1055"/>
      <c r="J285" s="1114" t="str">
        <f t="shared" si="21"/>
        <v/>
      </c>
      <c r="K285" s="1055"/>
      <c r="L285" s="1055"/>
      <c r="M285" s="1115" t="str">
        <f t="shared" si="22"/>
        <v/>
      </c>
      <c r="N285" s="1055"/>
      <c r="O285" s="1055"/>
      <c r="P285" s="1115" t="str">
        <f t="shared" si="23"/>
        <v/>
      </c>
      <c r="Q285" s="1055"/>
      <c r="R285" s="1055"/>
      <c r="S285" s="1115" t="str">
        <f t="shared" si="24"/>
        <v/>
      </c>
      <c r="T285" s="1054"/>
      <c r="U285" s="1055"/>
      <c r="V285" s="1253" t="str">
        <f t="shared" si="25"/>
        <v/>
      </c>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row>
    <row r="286" spans="2:43" x14ac:dyDescent="0.25">
      <c r="B286" s="1064"/>
      <c r="C286" s="1065"/>
      <c r="D286" s="1064"/>
      <c r="E286" s="1073"/>
      <c r="F286" s="1073"/>
      <c r="G286" s="1052"/>
      <c r="H286" s="1055"/>
      <c r="I286" s="1055"/>
      <c r="J286" s="1114" t="str">
        <f t="shared" si="21"/>
        <v/>
      </c>
      <c r="K286" s="1055"/>
      <c r="L286" s="1055"/>
      <c r="M286" s="1115" t="str">
        <f t="shared" si="22"/>
        <v/>
      </c>
      <c r="N286" s="1055"/>
      <c r="O286" s="1055"/>
      <c r="P286" s="1115" t="str">
        <f t="shared" si="23"/>
        <v/>
      </c>
      <c r="Q286" s="1055"/>
      <c r="R286" s="1055"/>
      <c r="S286" s="1115" t="str">
        <f t="shared" si="24"/>
        <v/>
      </c>
      <c r="T286" s="1054"/>
      <c r="U286" s="1055"/>
      <c r="V286" s="1253" t="str">
        <f t="shared" si="25"/>
        <v/>
      </c>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row>
    <row r="287" spans="2:43" x14ac:dyDescent="0.25">
      <c r="B287" s="1064"/>
      <c r="C287" s="1065"/>
      <c r="D287" s="1064"/>
      <c r="E287" s="1074"/>
      <c r="F287" s="1074"/>
      <c r="G287" s="1052"/>
      <c r="H287" s="1055"/>
      <c r="I287" s="1055"/>
      <c r="J287" s="1114" t="str">
        <f t="shared" si="21"/>
        <v/>
      </c>
      <c r="K287" s="1055"/>
      <c r="L287" s="1055"/>
      <c r="M287" s="1115" t="str">
        <f t="shared" si="22"/>
        <v/>
      </c>
      <c r="N287" s="1055"/>
      <c r="O287" s="1055"/>
      <c r="P287" s="1115" t="str">
        <f t="shared" si="23"/>
        <v/>
      </c>
      <c r="Q287" s="1055"/>
      <c r="R287" s="1055"/>
      <c r="S287" s="1115" t="str">
        <f t="shared" si="24"/>
        <v/>
      </c>
      <c r="T287" s="1054"/>
      <c r="U287" s="1055"/>
      <c r="V287" s="1253" t="str">
        <f t="shared" si="25"/>
        <v/>
      </c>
      <c r="W287" s="1048"/>
      <c r="X287" s="1048"/>
      <c r="Y287" s="1048"/>
      <c r="Z287" s="1048"/>
      <c r="AA287" s="1048"/>
      <c r="AB287" s="1048"/>
      <c r="AC287" s="1048"/>
      <c r="AD287" s="1048"/>
      <c r="AE287" s="1048"/>
      <c r="AF287" s="1048"/>
      <c r="AG287" s="1048"/>
      <c r="AH287" s="1048"/>
      <c r="AI287" s="1048"/>
      <c r="AJ287" s="1048"/>
      <c r="AK287" s="1048"/>
      <c r="AL287" s="1048"/>
      <c r="AM287" s="1048"/>
      <c r="AN287" s="1048"/>
      <c r="AO287" s="1048"/>
      <c r="AP287" s="1048"/>
      <c r="AQ287" s="1048"/>
    </row>
    <row r="288" spans="2:43" x14ac:dyDescent="0.25">
      <c r="B288" s="1064"/>
      <c r="C288" s="1065"/>
      <c r="D288" s="1064"/>
      <c r="E288" s="1073"/>
      <c r="F288" s="1073"/>
      <c r="G288" s="1052"/>
      <c r="H288" s="1055"/>
      <c r="I288" s="1055"/>
      <c r="J288" s="1114" t="str">
        <f t="shared" si="21"/>
        <v/>
      </c>
      <c r="K288" s="1055"/>
      <c r="L288" s="1055"/>
      <c r="M288" s="1115" t="str">
        <f t="shared" si="22"/>
        <v/>
      </c>
      <c r="N288" s="1055"/>
      <c r="O288" s="1055"/>
      <c r="P288" s="1115" t="str">
        <f t="shared" si="23"/>
        <v/>
      </c>
      <c r="Q288" s="1055"/>
      <c r="R288" s="1055"/>
      <c r="S288" s="1115" t="str">
        <f t="shared" si="24"/>
        <v/>
      </c>
      <c r="T288" s="1054"/>
      <c r="U288" s="1055"/>
      <c r="V288" s="1253" t="str">
        <f t="shared" si="25"/>
        <v/>
      </c>
      <c r="W288" s="1042"/>
    </row>
    <row r="289" spans="1:43" x14ac:dyDescent="0.25">
      <c r="B289" s="1064"/>
      <c r="C289" s="1065"/>
      <c r="D289" s="1064"/>
      <c r="E289" s="1073"/>
      <c r="F289" s="1073"/>
      <c r="G289" s="1052"/>
      <c r="H289" s="1055"/>
      <c r="I289" s="1055"/>
      <c r="J289" s="1114" t="str">
        <f t="shared" si="21"/>
        <v/>
      </c>
      <c r="K289" s="1055"/>
      <c r="L289" s="1055"/>
      <c r="M289" s="1115" t="str">
        <f t="shared" si="22"/>
        <v/>
      </c>
      <c r="N289" s="1055"/>
      <c r="O289" s="1055"/>
      <c r="P289" s="1115" t="str">
        <f t="shared" si="23"/>
        <v/>
      </c>
      <c r="Q289" s="1055"/>
      <c r="R289" s="1055"/>
      <c r="S289" s="1115" t="str">
        <f t="shared" si="24"/>
        <v/>
      </c>
      <c r="T289" s="1054"/>
      <c r="U289" s="1055"/>
      <c r="V289" s="1253" t="str">
        <f t="shared" si="25"/>
        <v/>
      </c>
      <c r="W289" s="1042"/>
    </row>
    <row r="290" spans="1:43" x14ac:dyDescent="0.25">
      <c r="B290" s="1064"/>
      <c r="C290" s="1065"/>
      <c r="D290" s="1064"/>
      <c r="E290" s="1073"/>
      <c r="F290" s="1073"/>
      <c r="G290" s="1052"/>
      <c r="H290" s="1055"/>
      <c r="I290" s="1055"/>
      <c r="J290" s="1114" t="str">
        <f t="shared" si="21"/>
        <v/>
      </c>
      <c r="K290" s="1055"/>
      <c r="L290" s="1055"/>
      <c r="M290" s="1115" t="str">
        <f t="shared" si="22"/>
        <v/>
      </c>
      <c r="N290" s="1055"/>
      <c r="O290" s="1055"/>
      <c r="P290" s="1115" t="str">
        <f t="shared" si="23"/>
        <v/>
      </c>
      <c r="Q290" s="1055"/>
      <c r="R290" s="1055"/>
      <c r="S290" s="1115" t="str">
        <f t="shared" si="24"/>
        <v/>
      </c>
      <c r="T290" s="1054"/>
      <c r="U290" s="1055"/>
      <c r="V290" s="1253" t="str">
        <f t="shared" si="25"/>
        <v/>
      </c>
      <c r="W290" s="1042"/>
    </row>
    <row r="291" spans="1:43" x14ac:dyDescent="0.25">
      <c r="B291" s="1064"/>
      <c r="C291" s="1065"/>
      <c r="D291" s="1064"/>
      <c r="E291" s="1073"/>
      <c r="F291" s="1073"/>
      <c r="G291" s="1052"/>
      <c r="H291" s="1055"/>
      <c r="I291" s="1055"/>
      <c r="J291" s="1114" t="str">
        <f t="shared" si="21"/>
        <v/>
      </c>
      <c r="K291" s="1055"/>
      <c r="L291" s="1055"/>
      <c r="M291" s="1115" t="str">
        <f t="shared" si="22"/>
        <v/>
      </c>
      <c r="N291" s="1055"/>
      <c r="O291" s="1055"/>
      <c r="P291" s="1115" t="str">
        <f t="shared" si="23"/>
        <v/>
      </c>
      <c r="Q291" s="1055"/>
      <c r="R291" s="1055"/>
      <c r="S291" s="1115" t="str">
        <f t="shared" si="24"/>
        <v/>
      </c>
      <c r="T291" s="1054"/>
      <c r="U291" s="1055"/>
      <c r="V291" s="1253" t="str">
        <f t="shared" si="25"/>
        <v/>
      </c>
      <c r="W291" s="1042"/>
    </row>
    <row r="292" spans="1:43" x14ac:dyDescent="0.25">
      <c r="B292" s="1064"/>
      <c r="C292" s="1065"/>
      <c r="D292" s="1064"/>
      <c r="E292" s="1073"/>
      <c r="F292" s="1073"/>
      <c r="G292" s="1052"/>
      <c r="H292" s="1055"/>
      <c r="I292" s="1055"/>
      <c r="J292" s="1114" t="str">
        <f t="shared" si="21"/>
        <v/>
      </c>
      <c r="K292" s="1055"/>
      <c r="L292" s="1055"/>
      <c r="M292" s="1115" t="str">
        <f t="shared" si="22"/>
        <v/>
      </c>
      <c r="N292" s="1055"/>
      <c r="O292" s="1055"/>
      <c r="P292" s="1115" t="str">
        <f t="shared" si="23"/>
        <v/>
      </c>
      <c r="Q292" s="1055"/>
      <c r="R292" s="1055"/>
      <c r="S292" s="1115" t="str">
        <f t="shared" si="24"/>
        <v/>
      </c>
      <c r="T292" s="1054"/>
      <c r="U292" s="1055"/>
      <c r="V292" s="1253" t="str">
        <f t="shared" si="25"/>
        <v/>
      </c>
      <c r="W292" s="1042"/>
    </row>
    <row r="293" spans="1:43" x14ac:dyDescent="0.25">
      <c r="B293" s="1064"/>
      <c r="C293" s="1065"/>
      <c r="D293" s="1064"/>
      <c r="E293" s="1073"/>
      <c r="F293" s="1073"/>
      <c r="G293" s="1052"/>
      <c r="H293" s="1055"/>
      <c r="I293" s="1055"/>
      <c r="J293" s="1114" t="str">
        <f t="shared" si="21"/>
        <v/>
      </c>
      <c r="K293" s="1055"/>
      <c r="L293" s="1055"/>
      <c r="M293" s="1115" t="str">
        <f t="shared" si="22"/>
        <v/>
      </c>
      <c r="N293" s="1055"/>
      <c r="O293" s="1055"/>
      <c r="P293" s="1115" t="str">
        <f t="shared" si="23"/>
        <v/>
      </c>
      <c r="Q293" s="1055"/>
      <c r="R293" s="1055"/>
      <c r="S293" s="1115" t="str">
        <f t="shared" si="24"/>
        <v/>
      </c>
      <c r="T293" s="1054"/>
      <c r="U293" s="1055"/>
      <c r="V293" s="1253" t="str">
        <f t="shared" si="25"/>
        <v/>
      </c>
      <c r="W293" s="1042"/>
    </row>
    <row r="294" spans="1:43" x14ac:dyDescent="0.25">
      <c r="B294" s="1064"/>
      <c r="C294" s="1065"/>
      <c r="D294" s="1064"/>
      <c r="E294" s="1073"/>
      <c r="F294" s="1073"/>
      <c r="G294" s="1052"/>
      <c r="H294" s="1055"/>
      <c r="I294" s="1055"/>
      <c r="J294" s="1114" t="str">
        <f t="shared" si="21"/>
        <v/>
      </c>
      <c r="K294" s="1055"/>
      <c r="L294" s="1055"/>
      <c r="M294" s="1115" t="str">
        <f t="shared" si="22"/>
        <v/>
      </c>
      <c r="N294" s="1055"/>
      <c r="O294" s="1055"/>
      <c r="P294" s="1115" t="str">
        <f t="shared" si="23"/>
        <v/>
      </c>
      <c r="Q294" s="1055"/>
      <c r="R294" s="1055"/>
      <c r="S294" s="1115" t="str">
        <f t="shared" si="24"/>
        <v/>
      </c>
      <c r="T294" s="1054"/>
      <c r="U294" s="1055"/>
      <c r="V294" s="1253" t="str">
        <f t="shared" si="25"/>
        <v/>
      </c>
      <c r="W294" s="1042"/>
    </row>
    <row r="295" spans="1:43" x14ac:dyDescent="0.25">
      <c r="B295" s="1064"/>
      <c r="C295" s="1065"/>
      <c r="D295" s="1064"/>
      <c r="E295" s="1073"/>
      <c r="F295" s="1073"/>
      <c r="G295" s="1052"/>
      <c r="H295" s="1055"/>
      <c r="I295" s="1055"/>
      <c r="J295" s="1114" t="str">
        <f t="shared" si="21"/>
        <v/>
      </c>
      <c r="K295" s="1055"/>
      <c r="L295" s="1055"/>
      <c r="M295" s="1115" t="str">
        <f t="shared" si="22"/>
        <v/>
      </c>
      <c r="N295" s="1055"/>
      <c r="O295" s="1055"/>
      <c r="P295" s="1115" t="str">
        <f t="shared" si="23"/>
        <v/>
      </c>
      <c r="Q295" s="1055"/>
      <c r="R295" s="1055"/>
      <c r="S295" s="1115" t="str">
        <f t="shared" si="24"/>
        <v/>
      </c>
      <c r="T295" s="1054"/>
      <c r="U295" s="1055"/>
      <c r="V295" s="1253" t="str">
        <f t="shared" si="25"/>
        <v/>
      </c>
      <c r="W295" s="1042"/>
    </row>
    <row r="296" spans="1:43" x14ac:dyDescent="0.25">
      <c r="B296" s="1064"/>
      <c r="C296" s="1065"/>
      <c r="D296" s="1064"/>
      <c r="E296" s="1073"/>
      <c r="F296" s="1073"/>
      <c r="G296" s="1052"/>
      <c r="H296" s="1055"/>
      <c r="I296" s="1055"/>
      <c r="J296" s="1114" t="str">
        <f t="shared" si="21"/>
        <v/>
      </c>
      <c r="K296" s="1055"/>
      <c r="L296" s="1055"/>
      <c r="M296" s="1115" t="str">
        <f t="shared" si="22"/>
        <v/>
      </c>
      <c r="N296" s="1055"/>
      <c r="O296" s="1055"/>
      <c r="P296" s="1115" t="str">
        <f t="shared" si="23"/>
        <v/>
      </c>
      <c r="Q296" s="1055"/>
      <c r="R296" s="1055"/>
      <c r="S296" s="1115" t="str">
        <f t="shared" si="24"/>
        <v/>
      </c>
      <c r="T296" s="1054"/>
      <c r="U296" s="1055"/>
      <c r="V296" s="1253" t="str">
        <f t="shared" si="25"/>
        <v/>
      </c>
      <c r="W296" s="1042"/>
    </row>
    <row r="297" spans="1:43" x14ac:dyDescent="0.25">
      <c r="B297" s="1064"/>
      <c r="C297" s="1065"/>
      <c r="D297" s="1064"/>
      <c r="E297" s="1073"/>
      <c r="F297" s="1073"/>
      <c r="G297" s="1052"/>
      <c r="H297" s="1055"/>
      <c r="I297" s="1055"/>
      <c r="J297" s="1114" t="str">
        <f t="shared" si="21"/>
        <v/>
      </c>
      <c r="K297" s="1055"/>
      <c r="L297" s="1055"/>
      <c r="M297" s="1115" t="str">
        <f t="shared" si="22"/>
        <v/>
      </c>
      <c r="N297" s="1055"/>
      <c r="O297" s="1055"/>
      <c r="P297" s="1115" t="str">
        <f t="shared" si="23"/>
        <v/>
      </c>
      <c r="Q297" s="1055"/>
      <c r="R297" s="1055"/>
      <c r="S297" s="1115" t="str">
        <f t="shared" si="24"/>
        <v/>
      </c>
      <c r="T297" s="1054"/>
      <c r="U297" s="1055"/>
      <c r="V297" s="1253" t="str">
        <f t="shared" si="25"/>
        <v/>
      </c>
      <c r="W297" s="1042"/>
    </row>
    <row r="298" spans="1:43" x14ac:dyDescent="0.25">
      <c r="B298" s="1064"/>
      <c r="C298" s="1065"/>
      <c r="D298" s="1064"/>
      <c r="E298" s="1073"/>
      <c r="F298" s="1073"/>
      <c r="G298" s="1052"/>
      <c r="H298" s="1055"/>
      <c r="I298" s="1055"/>
      <c r="J298" s="1114" t="str">
        <f t="shared" si="21"/>
        <v/>
      </c>
      <c r="K298" s="1055"/>
      <c r="L298" s="1055"/>
      <c r="M298" s="1115" t="str">
        <f t="shared" si="22"/>
        <v/>
      </c>
      <c r="N298" s="1055"/>
      <c r="O298" s="1055"/>
      <c r="P298" s="1115" t="str">
        <f t="shared" si="23"/>
        <v/>
      </c>
      <c r="Q298" s="1055"/>
      <c r="R298" s="1055"/>
      <c r="S298" s="1115" t="str">
        <f t="shared" si="24"/>
        <v/>
      </c>
      <c r="T298" s="1054"/>
      <c r="U298" s="1055"/>
      <c r="V298" s="1253" t="str">
        <f t="shared" si="25"/>
        <v/>
      </c>
      <c r="W298" s="1042"/>
    </row>
    <row r="299" spans="1:43" x14ac:dyDescent="0.25">
      <c r="B299" s="1064"/>
      <c r="C299" s="1065"/>
      <c r="D299" s="1064"/>
      <c r="E299" s="1075"/>
      <c r="F299" s="1075"/>
      <c r="G299" s="1052"/>
      <c r="H299" s="1055"/>
      <c r="I299" s="1055"/>
      <c r="J299" s="1114" t="str">
        <f t="shared" si="21"/>
        <v/>
      </c>
      <c r="K299" s="1055"/>
      <c r="L299" s="1055"/>
      <c r="M299" s="1115" t="str">
        <f t="shared" si="22"/>
        <v/>
      </c>
      <c r="N299" s="1055"/>
      <c r="O299" s="1055"/>
      <c r="P299" s="1115" t="str">
        <f t="shared" si="23"/>
        <v/>
      </c>
      <c r="Q299" s="1055"/>
      <c r="R299" s="1055"/>
      <c r="S299" s="1115" t="str">
        <f t="shared" si="24"/>
        <v/>
      </c>
      <c r="T299" s="1054"/>
      <c r="U299" s="1055"/>
      <c r="V299" s="1253" t="str">
        <f t="shared" si="25"/>
        <v/>
      </c>
      <c r="W299" s="1042"/>
    </row>
    <row r="300" spans="1:43" x14ac:dyDescent="0.25">
      <c r="B300" s="1064"/>
      <c r="C300" s="1065"/>
      <c r="D300" s="1064"/>
      <c r="E300" s="1073"/>
      <c r="F300" s="1073"/>
      <c r="G300" s="1052"/>
      <c r="H300" s="1055"/>
      <c r="I300" s="1055"/>
      <c r="J300" s="1114" t="str">
        <f t="shared" si="21"/>
        <v/>
      </c>
      <c r="K300" s="1055"/>
      <c r="L300" s="1055"/>
      <c r="M300" s="1115" t="str">
        <f t="shared" si="22"/>
        <v/>
      </c>
      <c r="N300" s="1055"/>
      <c r="O300" s="1055"/>
      <c r="P300" s="1115" t="str">
        <f t="shared" si="23"/>
        <v/>
      </c>
      <c r="Q300" s="1055"/>
      <c r="R300" s="1055"/>
      <c r="S300" s="1115" t="str">
        <f t="shared" si="24"/>
        <v/>
      </c>
      <c r="T300" s="1054"/>
      <c r="U300" s="1055"/>
      <c r="V300" s="1253" t="str">
        <f t="shared" si="25"/>
        <v/>
      </c>
      <c r="W300" s="1042"/>
    </row>
    <row r="301" spans="1:43" x14ac:dyDescent="0.25">
      <c r="B301" s="1064"/>
      <c r="C301" s="1065"/>
      <c r="D301" s="1064"/>
      <c r="E301" s="1073"/>
      <c r="F301" s="1073"/>
      <c r="G301" s="1052"/>
      <c r="H301" s="1055"/>
      <c r="I301" s="1055"/>
      <c r="J301" s="1114" t="str">
        <f t="shared" si="21"/>
        <v/>
      </c>
      <c r="K301" s="1055"/>
      <c r="L301" s="1055"/>
      <c r="M301" s="1115" t="str">
        <f t="shared" si="22"/>
        <v/>
      </c>
      <c r="N301" s="1055"/>
      <c r="O301" s="1055"/>
      <c r="P301" s="1115" t="str">
        <f t="shared" si="23"/>
        <v/>
      </c>
      <c r="Q301" s="1055"/>
      <c r="R301" s="1055"/>
      <c r="S301" s="1115" t="str">
        <f t="shared" si="24"/>
        <v/>
      </c>
      <c r="T301" s="1054"/>
      <c r="U301" s="1055"/>
      <c r="V301" s="1253" t="str">
        <f t="shared" si="25"/>
        <v/>
      </c>
      <c r="W301" s="1042"/>
    </row>
    <row r="302" spans="1:43" s="33" customFormat="1" x14ac:dyDescent="0.25">
      <c r="A302" s="1042"/>
      <c r="B302" s="1064"/>
      <c r="C302" s="1065"/>
      <c r="D302" s="1064"/>
      <c r="E302" s="1073"/>
      <c r="F302" s="1073"/>
      <c r="G302" s="1052"/>
      <c r="H302" s="1055"/>
      <c r="I302" s="1055"/>
      <c r="J302" s="1114" t="str">
        <f t="shared" si="21"/>
        <v/>
      </c>
      <c r="K302" s="1055"/>
      <c r="L302" s="1055"/>
      <c r="M302" s="1115" t="str">
        <f t="shared" si="22"/>
        <v/>
      </c>
      <c r="N302" s="1055"/>
      <c r="O302" s="1055"/>
      <c r="P302" s="1115" t="str">
        <f t="shared" si="23"/>
        <v/>
      </c>
      <c r="Q302" s="1055"/>
      <c r="R302" s="1055"/>
      <c r="S302" s="1115" t="str">
        <f t="shared" si="24"/>
        <v/>
      </c>
      <c r="T302" s="1054"/>
      <c r="U302" s="1055"/>
      <c r="V302" s="1253" t="str">
        <f t="shared" si="25"/>
        <v/>
      </c>
      <c r="W302" s="1042"/>
      <c r="X302" s="1042"/>
      <c r="Y302" s="1042"/>
      <c r="Z302" s="1042"/>
      <c r="AA302" s="1042"/>
      <c r="AB302" s="1042"/>
      <c r="AC302" s="1042"/>
      <c r="AD302" s="1042"/>
      <c r="AE302" s="1042"/>
      <c r="AF302" s="1042"/>
      <c r="AG302" s="1042"/>
      <c r="AH302" s="1042"/>
      <c r="AI302" s="1042"/>
      <c r="AJ302" s="1042"/>
      <c r="AK302" s="1042"/>
      <c r="AL302" s="1042"/>
      <c r="AM302" s="1042"/>
      <c r="AN302" s="1042"/>
      <c r="AO302" s="1042"/>
      <c r="AP302" s="1042"/>
      <c r="AQ302" s="1042"/>
    </row>
    <row r="303" spans="1:43" s="33" customFormat="1" x14ac:dyDescent="0.25">
      <c r="A303" s="1042"/>
      <c r="B303" s="1064"/>
      <c r="C303" s="1065"/>
      <c r="D303" s="1064"/>
      <c r="E303" s="1073"/>
      <c r="F303" s="1073"/>
      <c r="G303" s="1052"/>
      <c r="H303" s="1055"/>
      <c r="I303" s="1055"/>
      <c r="J303" s="1114" t="str">
        <f t="shared" si="21"/>
        <v/>
      </c>
      <c r="K303" s="1055"/>
      <c r="L303" s="1055"/>
      <c r="M303" s="1115" t="str">
        <f t="shared" si="22"/>
        <v/>
      </c>
      <c r="N303" s="1055"/>
      <c r="O303" s="1055"/>
      <c r="P303" s="1115" t="str">
        <f t="shared" si="23"/>
        <v/>
      </c>
      <c r="Q303" s="1055"/>
      <c r="R303" s="1055"/>
      <c r="S303" s="1115" t="str">
        <f t="shared" si="24"/>
        <v/>
      </c>
      <c r="T303" s="1054"/>
      <c r="U303" s="1055"/>
      <c r="V303" s="1253" t="str">
        <f t="shared" si="25"/>
        <v/>
      </c>
      <c r="W303" s="1042"/>
      <c r="X303" s="1042"/>
      <c r="Y303" s="1042"/>
      <c r="Z303" s="1042"/>
      <c r="AA303" s="1042"/>
      <c r="AB303" s="1042"/>
      <c r="AC303" s="1042"/>
      <c r="AD303" s="1042"/>
      <c r="AE303" s="1042"/>
      <c r="AF303" s="1042"/>
      <c r="AG303" s="1042"/>
      <c r="AH303" s="1042"/>
      <c r="AI303" s="1042"/>
      <c r="AJ303" s="1042"/>
      <c r="AK303" s="1042"/>
      <c r="AL303" s="1042"/>
      <c r="AM303" s="1042"/>
      <c r="AN303" s="1042"/>
      <c r="AO303" s="1042"/>
      <c r="AP303" s="1042"/>
      <c r="AQ303" s="1042"/>
    </row>
    <row r="304" spans="1:43" s="33" customFormat="1" x14ac:dyDescent="0.25">
      <c r="A304" s="1042"/>
      <c r="B304" s="1064"/>
      <c r="C304" s="1065"/>
      <c r="D304" s="1064"/>
      <c r="E304" s="1073"/>
      <c r="F304" s="1073"/>
      <c r="G304" s="1052"/>
      <c r="H304" s="1055"/>
      <c r="I304" s="1055"/>
      <c r="J304" s="1114" t="str">
        <f t="shared" si="21"/>
        <v/>
      </c>
      <c r="K304" s="1055"/>
      <c r="L304" s="1055"/>
      <c r="M304" s="1115" t="str">
        <f t="shared" si="22"/>
        <v/>
      </c>
      <c r="N304" s="1055"/>
      <c r="O304" s="1055"/>
      <c r="P304" s="1115" t="str">
        <f t="shared" si="23"/>
        <v/>
      </c>
      <c r="Q304" s="1055"/>
      <c r="R304" s="1055"/>
      <c r="S304" s="1115" t="str">
        <f t="shared" si="24"/>
        <v/>
      </c>
      <c r="T304" s="1054"/>
      <c r="U304" s="1055"/>
      <c r="V304" s="1253" t="str">
        <f t="shared" si="25"/>
        <v/>
      </c>
      <c r="W304" s="1042"/>
      <c r="X304" s="1042"/>
      <c r="Y304" s="1042"/>
      <c r="Z304" s="1042"/>
      <c r="AA304" s="1042"/>
      <c r="AB304" s="1042"/>
      <c r="AC304" s="1042"/>
      <c r="AD304" s="1042"/>
      <c r="AE304" s="1042"/>
      <c r="AF304" s="1042"/>
      <c r="AG304" s="1042"/>
      <c r="AH304" s="1042"/>
      <c r="AI304" s="1042"/>
      <c r="AJ304" s="1042"/>
      <c r="AK304" s="1042"/>
      <c r="AL304" s="1042"/>
      <c r="AM304" s="1042"/>
      <c r="AN304" s="1042"/>
      <c r="AO304" s="1042"/>
      <c r="AP304" s="1042"/>
      <c r="AQ304" s="1042"/>
    </row>
    <row r="305" spans="1:43" s="33" customFormat="1" x14ac:dyDescent="0.25">
      <c r="A305" s="1042"/>
      <c r="B305" s="1064"/>
      <c r="C305" s="1065"/>
      <c r="D305" s="1064"/>
      <c r="E305" s="1073"/>
      <c r="F305" s="1073"/>
      <c r="G305" s="1052"/>
      <c r="H305" s="1055"/>
      <c r="I305" s="1055"/>
      <c r="J305" s="1114" t="str">
        <f t="shared" si="21"/>
        <v/>
      </c>
      <c r="K305" s="1055"/>
      <c r="L305" s="1055"/>
      <c r="M305" s="1115" t="str">
        <f t="shared" si="22"/>
        <v/>
      </c>
      <c r="N305" s="1055"/>
      <c r="O305" s="1055"/>
      <c r="P305" s="1115" t="str">
        <f t="shared" si="23"/>
        <v/>
      </c>
      <c r="Q305" s="1055"/>
      <c r="R305" s="1055"/>
      <c r="S305" s="1115" t="str">
        <f t="shared" si="24"/>
        <v/>
      </c>
      <c r="T305" s="1054"/>
      <c r="U305" s="1055"/>
      <c r="V305" s="1253" t="str">
        <f t="shared" si="25"/>
        <v/>
      </c>
      <c r="W305" s="1042"/>
      <c r="X305" s="1042"/>
      <c r="Y305" s="1042"/>
      <c r="Z305" s="1042"/>
      <c r="AA305" s="1042"/>
      <c r="AB305" s="1042"/>
      <c r="AC305" s="1042"/>
      <c r="AD305" s="1042"/>
      <c r="AE305" s="1042"/>
      <c r="AF305" s="1042"/>
      <c r="AG305" s="1042"/>
      <c r="AH305" s="1042"/>
      <c r="AI305" s="1042"/>
      <c r="AJ305" s="1042"/>
      <c r="AK305" s="1042"/>
      <c r="AL305" s="1042"/>
      <c r="AM305" s="1042"/>
      <c r="AN305" s="1042"/>
      <c r="AO305" s="1042"/>
      <c r="AP305" s="1042"/>
      <c r="AQ305" s="1042"/>
    </row>
    <row r="306" spans="1:43" s="33" customFormat="1" x14ac:dyDescent="0.25">
      <c r="A306" s="1042"/>
      <c r="B306" s="1064"/>
      <c r="C306" s="1065"/>
      <c r="D306" s="1064"/>
      <c r="E306" s="1073"/>
      <c r="F306" s="1073"/>
      <c r="G306" s="1052"/>
      <c r="H306" s="1055"/>
      <c r="I306" s="1055"/>
      <c r="J306" s="1114" t="str">
        <f t="shared" si="21"/>
        <v/>
      </c>
      <c r="K306" s="1055"/>
      <c r="L306" s="1055"/>
      <c r="M306" s="1115" t="str">
        <f t="shared" si="22"/>
        <v/>
      </c>
      <c r="N306" s="1055"/>
      <c r="O306" s="1055"/>
      <c r="P306" s="1115" t="str">
        <f t="shared" si="23"/>
        <v/>
      </c>
      <c r="Q306" s="1055"/>
      <c r="R306" s="1055"/>
      <c r="S306" s="1115" t="str">
        <f t="shared" si="24"/>
        <v/>
      </c>
      <c r="T306" s="1054"/>
      <c r="U306" s="1055"/>
      <c r="V306" s="1253" t="str">
        <f t="shared" si="25"/>
        <v/>
      </c>
      <c r="W306" s="1042"/>
      <c r="X306" s="1042"/>
      <c r="Y306" s="1042"/>
      <c r="Z306" s="1042"/>
      <c r="AA306" s="1042"/>
      <c r="AB306" s="1042"/>
      <c r="AC306" s="1042"/>
      <c r="AD306" s="1042"/>
      <c r="AE306" s="1042"/>
      <c r="AF306" s="1042"/>
      <c r="AG306" s="1042"/>
      <c r="AH306" s="1042"/>
      <c r="AI306" s="1042"/>
      <c r="AJ306" s="1042"/>
      <c r="AK306" s="1042"/>
      <c r="AL306" s="1042"/>
      <c r="AM306" s="1042"/>
      <c r="AN306" s="1042"/>
      <c r="AO306" s="1042"/>
      <c r="AP306" s="1042"/>
      <c r="AQ306" s="1042"/>
    </row>
    <row r="307" spans="1:43" s="33" customFormat="1" x14ac:dyDescent="0.25">
      <c r="A307" s="1042"/>
      <c r="B307" s="1064"/>
      <c r="C307" s="1065"/>
      <c r="D307" s="1064"/>
      <c r="E307" s="1073"/>
      <c r="F307" s="1073"/>
      <c r="G307" s="1052"/>
      <c r="H307" s="1055"/>
      <c r="I307" s="1055"/>
      <c r="J307" s="1114" t="str">
        <f t="shared" si="21"/>
        <v/>
      </c>
      <c r="K307" s="1055"/>
      <c r="L307" s="1055"/>
      <c r="M307" s="1115" t="str">
        <f t="shared" si="22"/>
        <v/>
      </c>
      <c r="N307" s="1055"/>
      <c r="O307" s="1055"/>
      <c r="P307" s="1115" t="str">
        <f t="shared" si="23"/>
        <v/>
      </c>
      <c r="Q307" s="1055"/>
      <c r="R307" s="1055"/>
      <c r="S307" s="1115" t="str">
        <f t="shared" si="24"/>
        <v/>
      </c>
      <c r="T307" s="1054"/>
      <c r="U307" s="1055"/>
      <c r="V307" s="1253" t="str">
        <f t="shared" si="25"/>
        <v/>
      </c>
      <c r="W307" s="1042"/>
      <c r="X307" s="1042"/>
      <c r="Y307" s="1042"/>
      <c r="Z307" s="1042"/>
      <c r="AA307" s="1042"/>
      <c r="AB307" s="1042"/>
      <c r="AC307" s="1042"/>
      <c r="AD307" s="1042"/>
      <c r="AE307" s="1042"/>
      <c r="AF307" s="1042"/>
      <c r="AG307" s="1042"/>
      <c r="AH307" s="1042"/>
      <c r="AI307" s="1042"/>
      <c r="AJ307" s="1042"/>
      <c r="AK307" s="1042"/>
      <c r="AL307" s="1042"/>
      <c r="AM307" s="1042"/>
      <c r="AN307" s="1042"/>
      <c r="AO307" s="1042"/>
      <c r="AP307" s="1042"/>
      <c r="AQ307" s="1042"/>
    </row>
    <row r="308" spans="1:43" s="33" customFormat="1" x14ac:dyDescent="0.25">
      <c r="A308" s="1042"/>
      <c r="B308" s="1064"/>
      <c r="C308" s="1065"/>
      <c r="D308" s="1064"/>
      <c r="E308" s="1073"/>
      <c r="F308" s="1073"/>
      <c r="G308" s="1052"/>
      <c r="H308" s="1055"/>
      <c r="I308" s="1055"/>
      <c r="J308" s="1114" t="str">
        <f t="shared" si="21"/>
        <v/>
      </c>
      <c r="K308" s="1055"/>
      <c r="L308" s="1055"/>
      <c r="M308" s="1115" t="str">
        <f t="shared" si="22"/>
        <v/>
      </c>
      <c r="N308" s="1055"/>
      <c r="O308" s="1055"/>
      <c r="P308" s="1115" t="str">
        <f t="shared" si="23"/>
        <v/>
      </c>
      <c r="Q308" s="1055"/>
      <c r="R308" s="1055"/>
      <c r="S308" s="1115" t="str">
        <f t="shared" si="24"/>
        <v/>
      </c>
      <c r="T308" s="1054"/>
      <c r="U308" s="1055"/>
      <c r="V308" s="1253" t="str">
        <f t="shared" si="25"/>
        <v/>
      </c>
      <c r="W308" s="1042"/>
      <c r="X308" s="1042"/>
      <c r="Y308" s="1042"/>
      <c r="Z308" s="1042"/>
      <c r="AA308" s="1042"/>
      <c r="AB308" s="1042"/>
      <c r="AC308" s="1042"/>
      <c r="AD308" s="1042"/>
      <c r="AE308" s="1042"/>
      <c r="AF308" s="1042"/>
      <c r="AG308" s="1042"/>
      <c r="AH308" s="1042"/>
      <c r="AI308" s="1042"/>
      <c r="AJ308" s="1042"/>
      <c r="AK308" s="1042"/>
      <c r="AL308" s="1042"/>
      <c r="AM308" s="1042"/>
      <c r="AN308" s="1042"/>
      <c r="AO308" s="1042"/>
      <c r="AP308" s="1042"/>
      <c r="AQ308" s="1042"/>
    </row>
    <row r="309" spans="1:43" s="33" customFormat="1" x14ac:dyDescent="0.25">
      <c r="A309" s="1042"/>
      <c r="B309" s="1064"/>
      <c r="C309" s="1065"/>
      <c r="D309" s="1064"/>
      <c r="E309" s="1073"/>
      <c r="F309" s="1073"/>
      <c r="G309" s="1052"/>
      <c r="H309" s="1055"/>
      <c r="I309" s="1055"/>
      <c r="J309" s="1114" t="str">
        <f t="shared" si="21"/>
        <v/>
      </c>
      <c r="K309" s="1055"/>
      <c r="L309" s="1055"/>
      <c r="M309" s="1115" t="str">
        <f t="shared" si="22"/>
        <v/>
      </c>
      <c r="N309" s="1055"/>
      <c r="O309" s="1055"/>
      <c r="P309" s="1115" t="str">
        <f t="shared" si="23"/>
        <v/>
      </c>
      <c r="Q309" s="1055"/>
      <c r="R309" s="1055"/>
      <c r="S309" s="1115" t="str">
        <f t="shared" si="24"/>
        <v/>
      </c>
      <c r="T309" s="1054"/>
      <c r="U309" s="1055"/>
      <c r="V309" s="1253" t="str">
        <f t="shared" si="25"/>
        <v/>
      </c>
      <c r="W309" s="1042"/>
      <c r="X309" s="1042"/>
      <c r="Y309" s="1042"/>
      <c r="Z309" s="1042"/>
      <c r="AA309" s="1042"/>
      <c r="AB309" s="1042"/>
      <c r="AC309" s="1042"/>
      <c r="AD309" s="1042"/>
      <c r="AE309" s="1042"/>
      <c r="AF309" s="1042"/>
      <c r="AG309" s="1042"/>
      <c r="AH309" s="1042"/>
      <c r="AI309" s="1042"/>
      <c r="AJ309" s="1042"/>
      <c r="AK309" s="1042"/>
      <c r="AL309" s="1042"/>
      <c r="AM309" s="1042"/>
      <c r="AN309" s="1042"/>
      <c r="AO309" s="1042"/>
      <c r="AP309" s="1042"/>
      <c r="AQ309" s="1042"/>
    </row>
    <row r="310" spans="1:43" s="33" customFormat="1" x14ac:dyDescent="0.25">
      <c r="A310" s="1042"/>
      <c r="B310" s="1064"/>
      <c r="C310" s="1065"/>
      <c r="D310" s="1064"/>
      <c r="E310" s="1073"/>
      <c r="F310" s="1073"/>
      <c r="G310" s="1052"/>
      <c r="H310" s="1055"/>
      <c r="I310" s="1055"/>
      <c r="J310" s="1114" t="str">
        <f t="shared" si="21"/>
        <v/>
      </c>
      <c r="K310" s="1055"/>
      <c r="L310" s="1055"/>
      <c r="M310" s="1115" t="str">
        <f t="shared" si="22"/>
        <v/>
      </c>
      <c r="N310" s="1055"/>
      <c r="O310" s="1055"/>
      <c r="P310" s="1115" t="str">
        <f t="shared" si="23"/>
        <v/>
      </c>
      <c r="Q310" s="1055"/>
      <c r="R310" s="1055"/>
      <c r="S310" s="1115" t="str">
        <f t="shared" si="24"/>
        <v/>
      </c>
      <c r="T310" s="1054"/>
      <c r="U310" s="1055"/>
      <c r="V310" s="1253" t="str">
        <f t="shared" si="25"/>
        <v/>
      </c>
      <c r="W310" s="1042"/>
      <c r="X310" s="1042"/>
      <c r="Y310" s="1042"/>
      <c r="Z310" s="1042"/>
      <c r="AA310" s="1042"/>
      <c r="AB310" s="1042"/>
      <c r="AC310" s="1042"/>
      <c r="AD310" s="1042"/>
      <c r="AE310" s="1042"/>
      <c r="AF310" s="1042"/>
      <c r="AG310" s="1042"/>
      <c r="AH310" s="1042"/>
      <c r="AI310" s="1042"/>
      <c r="AJ310" s="1042"/>
      <c r="AK310" s="1042"/>
      <c r="AL310" s="1042"/>
      <c r="AM310" s="1042"/>
      <c r="AN310" s="1042"/>
      <c r="AO310" s="1042"/>
      <c r="AP310" s="1042"/>
      <c r="AQ310" s="1042"/>
    </row>
    <row r="311" spans="1:43" s="33" customFormat="1" x14ac:dyDescent="0.25">
      <c r="A311" s="1042"/>
      <c r="B311" s="1064"/>
      <c r="C311" s="1065"/>
      <c r="D311" s="1064"/>
      <c r="E311" s="1073"/>
      <c r="F311" s="1073"/>
      <c r="G311" s="1052"/>
      <c r="H311" s="1055"/>
      <c r="I311" s="1055"/>
      <c r="J311" s="1114" t="str">
        <f t="shared" si="21"/>
        <v/>
      </c>
      <c r="K311" s="1055"/>
      <c r="L311" s="1055"/>
      <c r="M311" s="1115" t="str">
        <f t="shared" si="22"/>
        <v/>
      </c>
      <c r="N311" s="1055"/>
      <c r="O311" s="1055"/>
      <c r="P311" s="1115" t="str">
        <f t="shared" si="23"/>
        <v/>
      </c>
      <c r="Q311" s="1055"/>
      <c r="R311" s="1055"/>
      <c r="S311" s="1115" t="str">
        <f t="shared" si="24"/>
        <v/>
      </c>
      <c r="T311" s="1054"/>
      <c r="U311" s="1055"/>
      <c r="V311" s="1253" t="str">
        <f t="shared" si="25"/>
        <v/>
      </c>
      <c r="W311" s="1042"/>
      <c r="X311" s="1042"/>
      <c r="Y311" s="1042"/>
      <c r="Z311" s="1042"/>
      <c r="AA311" s="1042"/>
      <c r="AB311" s="1042"/>
      <c r="AC311" s="1042"/>
      <c r="AD311" s="1042"/>
      <c r="AE311" s="1042"/>
      <c r="AF311" s="1042"/>
      <c r="AG311" s="1042"/>
      <c r="AH311" s="1042"/>
      <c r="AI311" s="1042"/>
      <c r="AJ311" s="1042"/>
      <c r="AK311" s="1042"/>
      <c r="AL311" s="1042"/>
      <c r="AM311" s="1042"/>
      <c r="AN311" s="1042"/>
      <c r="AO311" s="1042"/>
      <c r="AP311" s="1042"/>
      <c r="AQ311" s="1042"/>
    </row>
    <row r="312" spans="1:43" s="33" customFormat="1" x14ac:dyDescent="0.25">
      <c r="A312" s="1042"/>
      <c r="B312" s="1064"/>
      <c r="C312" s="1065"/>
      <c r="D312" s="1064"/>
      <c r="E312" s="1073"/>
      <c r="F312" s="1073"/>
      <c r="G312" s="1052"/>
      <c r="H312" s="1055"/>
      <c r="I312" s="1055"/>
      <c r="J312" s="1114" t="str">
        <f t="shared" si="21"/>
        <v/>
      </c>
      <c r="K312" s="1055"/>
      <c r="L312" s="1055"/>
      <c r="M312" s="1115" t="str">
        <f t="shared" si="22"/>
        <v/>
      </c>
      <c r="N312" s="1055"/>
      <c r="O312" s="1055"/>
      <c r="P312" s="1115" t="str">
        <f t="shared" si="23"/>
        <v/>
      </c>
      <c r="Q312" s="1055"/>
      <c r="R312" s="1055"/>
      <c r="S312" s="1115" t="str">
        <f t="shared" si="24"/>
        <v/>
      </c>
      <c r="T312" s="1054"/>
      <c r="U312" s="1055"/>
      <c r="V312" s="1253" t="str">
        <f t="shared" si="25"/>
        <v/>
      </c>
      <c r="W312" s="1042"/>
      <c r="X312" s="1042"/>
      <c r="Y312" s="1042"/>
      <c r="Z312" s="1042"/>
      <c r="AA312" s="1042"/>
      <c r="AB312" s="1042"/>
      <c r="AC312" s="1042"/>
      <c r="AD312" s="1042"/>
      <c r="AE312" s="1042"/>
      <c r="AF312" s="1042"/>
      <c r="AG312" s="1042"/>
      <c r="AH312" s="1042"/>
      <c r="AI312" s="1042"/>
      <c r="AJ312" s="1042"/>
      <c r="AK312" s="1042"/>
      <c r="AL312" s="1042"/>
      <c r="AM312" s="1042"/>
      <c r="AN312" s="1042"/>
      <c r="AO312" s="1042"/>
      <c r="AP312" s="1042"/>
      <c r="AQ312" s="1042"/>
    </row>
    <row r="313" spans="1:43" s="33" customFormat="1" x14ac:dyDescent="0.25">
      <c r="A313" s="1042"/>
      <c r="B313" s="1064"/>
      <c r="C313" s="1065"/>
      <c r="D313" s="1064"/>
      <c r="E313" s="1073"/>
      <c r="F313" s="1073"/>
      <c r="G313" s="1052"/>
      <c r="H313" s="1055"/>
      <c r="I313" s="1055"/>
      <c r="J313" s="1114" t="str">
        <f t="shared" si="21"/>
        <v/>
      </c>
      <c r="K313" s="1055"/>
      <c r="L313" s="1055"/>
      <c r="M313" s="1115" t="str">
        <f t="shared" si="22"/>
        <v/>
      </c>
      <c r="N313" s="1055"/>
      <c r="O313" s="1055"/>
      <c r="P313" s="1115" t="str">
        <f t="shared" si="23"/>
        <v/>
      </c>
      <c r="Q313" s="1055"/>
      <c r="R313" s="1055"/>
      <c r="S313" s="1115" t="str">
        <f t="shared" si="24"/>
        <v/>
      </c>
      <c r="T313" s="1054"/>
      <c r="U313" s="1055"/>
      <c r="V313" s="1253" t="str">
        <f t="shared" si="25"/>
        <v/>
      </c>
      <c r="W313" s="1042"/>
      <c r="X313" s="1042"/>
      <c r="Y313" s="1042"/>
      <c r="Z313" s="1042"/>
      <c r="AA313" s="1042"/>
      <c r="AB313" s="1042"/>
      <c r="AC313" s="1042"/>
      <c r="AD313" s="1042"/>
      <c r="AE313" s="1042"/>
      <c r="AF313" s="1042"/>
      <c r="AG313" s="1042"/>
      <c r="AH313" s="1042"/>
      <c r="AI313" s="1042"/>
      <c r="AJ313" s="1042"/>
      <c r="AK313" s="1042"/>
      <c r="AL313" s="1042"/>
      <c r="AM313" s="1042"/>
      <c r="AN313" s="1042"/>
      <c r="AO313" s="1042"/>
      <c r="AP313" s="1042"/>
      <c r="AQ313" s="1042"/>
    </row>
    <row r="314" spans="1:43" s="33" customFormat="1" x14ac:dyDescent="0.25">
      <c r="A314" s="1042"/>
      <c r="B314" s="1064"/>
      <c r="C314" s="1065"/>
      <c r="D314" s="1064"/>
      <c r="E314" s="1073"/>
      <c r="F314" s="1073"/>
      <c r="G314" s="1052"/>
      <c r="H314" s="1055"/>
      <c r="I314" s="1055"/>
      <c r="J314" s="1114" t="str">
        <f t="shared" si="21"/>
        <v/>
      </c>
      <c r="K314" s="1055"/>
      <c r="L314" s="1055"/>
      <c r="M314" s="1115" t="str">
        <f t="shared" si="22"/>
        <v/>
      </c>
      <c r="N314" s="1055"/>
      <c r="O314" s="1055"/>
      <c r="P314" s="1115" t="str">
        <f t="shared" si="23"/>
        <v/>
      </c>
      <c r="Q314" s="1055"/>
      <c r="R314" s="1055"/>
      <c r="S314" s="1115" t="str">
        <f t="shared" si="24"/>
        <v/>
      </c>
      <c r="T314" s="1054"/>
      <c r="U314" s="1055"/>
      <c r="V314" s="1253" t="str">
        <f t="shared" si="25"/>
        <v/>
      </c>
      <c r="W314" s="1042"/>
      <c r="X314" s="1042"/>
      <c r="Y314" s="1042"/>
      <c r="Z314" s="1042"/>
      <c r="AA314" s="1042"/>
      <c r="AB314" s="1042"/>
      <c r="AC314" s="1042"/>
      <c r="AD314" s="1042"/>
      <c r="AE314" s="1042"/>
      <c r="AF314" s="1042"/>
      <c r="AG314" s="1042"/>
      <c r="AH314" s="1042"/>
      <c r="AI314" s="1042"/>
      <c r="AJ314" s="1042"/>
      <c r="AK314" s="1042"/>
      <c r="AL314" s="1042"/>
      <c r="AM314" s="1042"/>
      <c r="AN314" s="1042"/>
      <c r="AO314" s="1042"/>
      <c r="AP314" s="1042"/>
      <c r="AQ314" s="1042"/>
    </row>
    <row r="315" spans="1:43" s="33" customFormat="1" x14ac:dyDescent="0.25">
      <c r="A315" s="1042"/>
      <c r="B315" s="1064"/>
      <c r="C315" s="1065"/>
      <c r="D315" s="1064"/>
      <c r="E315" s="1073"/>
      <c r="F315" s="1073"/>
      <c r="G315" s="1052"/>
      <c r="H315" s="1055"/>
      <c r="I315" s="1055"/>
      <c r="J315" s="1114" t="str">
        <f t="shared" si="21"/>
        <v/>
      </c>
      <c r="K315" s="1055"/>
      <c r="L315" s="1055"/>
      <c r="M315" s="1115" t="str">
        <f t="shared" si="22"/>
        <v/>
      </c>
      <c r="N315" s="1055"/>
      <c r="O315" s="1055"/>
      <c r="P315" s="1115" t="str">
        <f t="shared" si="23"/>
        <v/>
      </c>
      <c r="Q315" s="1055"/>
      <c r="R315" s="1055"/>
      <c r="S315" s="1115" t="str">
        <f t="shared" si="24"/>
        <v/>
      </c>
      <c r="T315" s="1054"/>
      <c r="U315" s="1055"/>
      <c r="V315" s="1253" t="str">
        <f t="shared" si="25"/>
        <v/>
      </c>
      <c r="W315" s="1042"/>
      <c r="X315" s="1042"/>
      <c r="Y315" s="1042"/>
      <c r="Z315" s="1042"/>
      <c r="AA315" s="1042"/>
      <c r="AB315" s="1042"/>
      <c r="AC315" s="1042"/>
      <c r="AD315" s="1042"/>
      <c r="AE315" s="1042"/>
      <c r="AF315" s="1042"/>
      <c r="AG315" s="1042"/>
      <c r="AH315" s="1042"/>
      <c r="AI315" s="1042"/>
      <c r="AJ315" s="1042"/>
      <c r="AK315" s="1042"/>
      <c r="AL315" s="1042"/>
      <c r="AM315" s="1042"/>
      <c r="AN315" s="1042"/>
      <c r="AO315" s="1042"/>
      <c r="AP315" s="1042"/>
      <c r="AQ315" s="1042"/>
    </row>
    <row r="316" spans="1:43" s="33" customFormat="1" x14ac:dyDescent="0.25">
      <c r="A316" s="1042"/>
      <c r="B316" s="1064"/>
      <c r="C316" s="1065"/>
      <c r="D316" s="1064"/>
      <c r="E316" s="1073"/>
      <c r="F316" s="1073"/>
      <c r="G316" s="1052"/>
      <c r="H316" s="1055"/>
      <c r="I316" s="1055"/>
      <c r="J316" s="1114" t="str">
        <f t="shared" si="21"/>
        <v/>
      </c>
      <c r="K316" s="1055"/>
      <c r="L316" s="1055"/>
      <c r="M316" s="1115" t="str">
        <f t="shared" si="22"/>
        <v/>
      </c>
      <c r="N316" s="1055"/>
      <c r="O316" s="1055"/>
      <c r="P316" s="1115" t="str">
        <f t="shared" si="23"/>
        <v/>
      </c>
      <c r="Q316" s="1055"/>
      <c r="R316" s="1055"/>
      <c r="S316" s="1115" t="str">
        <f t="shared" si="24"/>
        <v/>
      </c>
      <c r="T316" s="1054"/>
      <c r="U316" s="1055"/>
      <c r="V316" s="1253" t="str">
        <f t="shared" si="25"/>
        <v/>
      </c>
      <c r="W316" s="1042"/>
      <c r="X316" s="1042"/>
      <c r="Y316" s="1042"/>
      <c r="Z316" s="1042"/>
      <c r="AA316" s="1042"/>
      <c r="AB316" s="1042"/>
      <c r="AC316" s="1042"/>
      <c r="AD316" s="1042"/>
      <c r="AE316" s="1042"/>
      <c r="AF316" s="1042"/>
      <c r="AG316" s="1042"/>
      <c r="AH316" s="1042"/>
      <c r="AI316" s="1042"/>
      <c r="AJ316" s="1042"/>
      <c r="AK316" s="1042"/>
      <c r="AL316" s="1042"/>
      <c r="AM316" s="1042"/>
      <c r="AN316" s="1042"/>
      <c r="AO316" s="1042"/>
      <c r="AP316" s="1042"/>
      <c r="AQ316" s="1042"/>
    </row>
    <row r="317" spans="1:43" s="33" customFormat="1" x14ac:dyDescent="0.25">
      <c r="A317" s="1042"/>
      <c r="B317" s="1064"/>
      <c r="C317" s="1065"/>
      <c r="D317" s="1064"/>
      <c r="E317" s="1073"/>
      <c r="F317" s="1073"/>
      <c r="G317" s="1052"/>
      <c r="H317" s="1055"/>
      <c r="I317" s="1055"/>
      <c r="J317" s="1114" t="str">
        <f t="shared" si="21"/>
        <v/>
      </c>
      <c r="K317" s="1055"/>
      <c r="L317" s="1055"/>
      <c r="M317" s="1115" t="str">
        <f t="shared" si="22"/>
        <v/>
      </c>
      <c r="N317" s="1055"/>
      <c r="O317" s="1055"/>
      <c r="P317" s="1115" t="str">
        <f t="shared" si="23"/>
        <v/>
      </c>
      <c r="Q317" s="1055"/>
      <c r="R317" s="1055"/>
      <c r="S317" s="1115" t="str">
        <f t="shared" si="24"/>
        <v/>
      </c>
      <c r="T317" s="1054"/>
      <c r="U317" s="1055"/>
      <c r="V317" s="1253" t="str">
        <f t="shared" si="25"/>
        <v/>
      </c>
      <c r="W317" s="1042"/>
      <c r="X317" s="1042"/>
      <c r="Y317" s="1042"/>
      <c r="Z317" s="1042"/>
      <c r="AA317" s="1042"/>
      <c r="AB317" s="1042"/>
      <c r="AC317" s="1042"/>
      <c r="AD317" s="1042"/>
      <c r="AE317" s="1042"/>
      <c r="AF317" s="1042"/>
      <c r="AG317" s="1042"/>
      <c r="AH317" s="1042"/>
      <c r="AI317" s="1042"/>
      <c r="AJ317" s="1042"/>
      <c r="AK317" s="1042"/>
      <c r="AL317" s="1042"/>
      <c r="AM317" s="1042"/>
      <c r="AN317" s="1042"/>
      <c r="AO317" s="1042"/>
      <c r="AP317" s="1042"/>
      <c r="AQ317" s="1042"/>
    </row>
    <row r="318" spans="1:43" s="33" customFormat="1" x14ac:dyDescent="0.25">
      <c r="A318" s="1042"/>
      <c r="B318" s="1064"/>
      <c r="C318" s="1065"/>
      <c r="D318" s="1064"/>
      <c r="E318" s="1073"/>
      <c r="F318" s="1073"/>
      <c r="G318" s="1052"/>
      <c r="H318" s="1055"/>
      <c r="I318" s="1055"/>
      <c r="J318" s="1114" t="str">
        <f t="shared" si="21"/>
        <v/>
      </c>
      <c r="K318" s="1055"/>
      <c r="L318" s="1055"/>
      <c r="M318" s="1115" t="str">
        <f t="shared" si="22"/>
        <v/>
      </c>
      <c r="N318" s="1055"/>
      <c r="O318" s="1055"/>
      <c r="P318" s="1115" t="str">
        <f t="shared" si="23"/>
        <v/>
      </c>
      <c r="Q318" s="1055"/>
      <c r="R318" s="1055"/>
      <c r="S318" s="1115" t="str">
        <f t="shared" si="24"/>
        <v/>
      </c>
      <c r="T318" s="1054"/>
      <c r="U318" s="1055"/>
      <c r="V318" s="1253" t="str">
        <f t="shared" si="25"/>
        <v/>
      </c>
      <c r="W318" s="1042"/>
      <c r="X318" s="1042"/>
      <c r="Y318" s="1042"/>
      <c r="Z318" s="1042"/>
      <c r="AA318" s="1042"/>
      <c r="AB318" s="1042"/>
      <c r="AC318" s="1042"/>
      <c r="AD318" s="1042"/>
      <c r="AE318" s="1042"/>
      <c r="AF318" s="1042"/>
      <c r="AG318" s="1042"/>
      <c r="AH318" s="1042"/>
      <c r="AI318" s="1042"/>
      <c r="AJ318" s="1042"/>
      <c r="AK318" s="1042"/>
      <c r="AL318" s="1042"/>
      <c r="AM318" s="1042"/>
      <c r="AN318" s="1042"/>
      <c r="AO318" s="1042"/>
      <c r="AP318" s="1042"/>
      <c r="AQ318" s="1042"/>
    </row>
    <row r="319" spans="1:43" s="33" customFormat="1" x14ac:dyDescent="0.25">
      <c r="A319" s="1042"/>
      <c r="B319" s="1064"/>
      <c r="C319" s="1065"/>
      <c r="D319" s="1064"/>
      <c r="E319" s="1073"/>
      <c r="F319" s="1073"/>
      <c r="G319" s="1052"/>
      <c r="H319" s="1055"/>
      <c r="I319" s="1055"/>
      <c r="J319" s="1114" t="str">
        <f t="shared" si="21"/>
        <v/>
      </c>
      <c r="K319" s="1055"/>
      <c r="L319" s="1055"/>
      <c r="M319" s="1115" t="str">
        <f t="shared" si="22"/>
        <v/>
      </c>
      <c r="N319" s="1055"/>
      <c r="O319" s="1055"/>
      <c r="P319" s="1115" t="str">
        <f t="shared" si="23"/>
        <v/>
      </c>
      <c r="Q319" s="1055"/>
      <c r="R319" s="1055"/>
      <c r="S319" s="1115" t="str">
        <f t="shared" si="24"/>
        <v/>
      </c>
      <c r="T319" s="1054"/>
      <c r="U319" s="1055"/>
      <c r="V319" s="1253" t="str">
        <f t="shared" si="25"/>
        <v/>
      </c>
      <c r="W319" s="1042"/>
      <c r="X319" s="1042"/>
      <c r="Y319" s="1042"/>
      <c r="Z319" s="1042"/>
      <c r="AA319" s="1042"/>
      <c r="AB319" s="1042"/>
      <c r="AC319" s="1042"/>
      <c r="AD319" s="1042"/>
      <c r="AE319" s="1042"/>
      <c r="AF319" s="1042"/>
      <c r="AG319" s="1042"/>
      <c r="AH319" s="1042"/>
      <c r="AI319" s="1042"/>
      <c r="AJ319" s="1042"/>
      <c r="AK319" s="1042"/>
      <c r="AL319" s="1042"/>
      <c r="AM319" s="1042"/>
      <c r="AN319" s="1042"/>
      <c r="AO319" s="1042"/>
      <c r="AP319" s="1042"/>
      <c r="AQ319" s="1042"/>
    </row>
    <row r="320" spans="1:43" s="33" customFormat="1" x14ac:dyDescent="0.25">
      <c r="A320" s="1042"/>
      <c r="B320" s="1064"/>
      <c r="C320" s="1065"/>
      <c r="D320" s="1064"/>
      <c r="E320" s="1073"/>
      <c r="F320" s="1073"/>
      <c r="G320" s="1052"/>
      <c r="H320" s="1055"/>
      <c r="I320" s="1055"/>
      <c r="J320" s="1114" t="str">
        <f t="shared" si="21"/>
        <v/>
      </c>
      <c r="K320" s="1055"/>
      <c r="L320" s="1055"/>
      <c r="M320" s="1115" t="str">
        <f t="shared" si="22"/>
        <v/>
      </c>
      <c r="N320" s="1055"/>
      <c r="O320" s="1055"/>
      <c r="P320" s="1115" t="str">
        <f t="shared" si="23"/>
        <v/>
      </c>
      <c r="Q320" s="1055"/>
      <c r="R320" s="1055"/>
      <c r="S320" s="1115" t="str">
        <f t="shared" si="24"/>
        <v/>
      </c>
      <c r="T320" s="1054"/>
      <c r="U320" s="1055"/>
      <c r="V320" s="1253" t="str">
        <f t="shared" si="25"/>
        <v/>
      </c>
      <c r="W320" s="1042"/>
      <c r="X320" s="1042"/>
      <c r="Y320" s="1042"/>
      <c r="Z320" s="1042"/>
      <c r="AA320" s="1042"/>
      <c r="AB320" s="1042"/>
      <c r="AC320" s="1042"/>
      <c r="AD320" s="1042"/>
      <c r="AE320" s="1042"/>
      <c r="AF320" s="1042"/>
      <c r="AG320" s="1042"/>
      <c r="AH320" s="1042"/>
      <c r="AI320" s="1042"/>
      <c r="AJ320" s="1042"/>
      <c r="AK320" s="1042"/>
      <c r="AL320" s="1042"/>
      <c r="AM320" s="1042"/>
      <c r="AN320" s="1042"/>
      <c r="AO320" s="1042"/>
      <c r="AP320" s="1042"/>
      <c r="AQ320" s="1042"/>
    </row>
    <row r="321" spans="1:43" s="33" customFormat="1" x14ac:dyDescent="0.25">
      <c r="A321" s="1042"/>
      <c r="B321" s="1064"/>
      <c r="C321" s="1065"/>
      <c r="D321" s="1064"/>
      <c r="E321" s="1073"/>
      <c r="F321" s="1073"/>
      <c r="G321" s="1052"/>
      <c r="H321" s="1055"/>
      <c r="I321" s="1055"/>
      <c r="J321" s="1114" t="str">
        <f t="shared" si="21"/>
        <v/>
      </c>
      <c r="K321" s="1055"/>
      <c r="L321" s="1055"/>
      <c r="M321" s="1115" t="str">
        <f t="shared" si="22"/>
        <v/>
      </c>
      <c r="N321" s="1055"/>
      <c r="O321" s="1055"/>
      <c r="P321" s="1115" t="str">
        <f t="shared" si="23"/>
        <v/>
      </c>
      <c r="Q321" s="1055"/>
      <c r="R321" s="1055"/>
      <c r="S321" s="1115" t="str">
        <f t="shared" si="24"/>
        <v/>
      </c>
      <c r="T321" s="1054"/>
      <c r="U321" s="1055"/>
      <c r="V321" s="1253" t="str">
        <f t="shared" si="25"/>
        <v/>
      </c>
      <c r="W321" s="1042"/>
      <c r="X321" s="1042"/>
      <c r="Y321" s="1042"/>
      <c r="Z321" s="1042"/>
      <c r="AA321" s="1042"/>
      <c r="AB321" s="1042"/>
      <c r="AC321" s="1042"/>
      <c r="AD321" s="1042"/>
      <c r="AE321" s="1042"/>
      <c r="AF321" s="1042"/>
      <c r="AG321" s="1042"/>
      <c r="AH321" s="1042"/>
      <c r="AI321" s="1042"/>
      <c r="AJ321" s="1042"/>
      <c r="AK321" s="1042"/>
      <c r="AL321" s="1042"/>
      <c r="AM321" s="1042"/>
      <c r="AN321" s="1042"/>
      <c r="AO321" s="1042"/>
      <c r="AP321" s="1042"/>
      <c r="AQ321" s="1042"/>
    </row>
    <row r="322" spans="1:43" s="33" customFormat="1" x14ac:dyDescent="0.25">
      <c r="A322" s="1042"/>
      <c r="B322" s="1064"/>
      <c r="C322" s="1065"/>
      <c r="D322" s="1064"/>
      <c r="E322" s="1073"/>
      <c r="F322" s="1073"/>
      <c r="G322" s="1052"/>
      <c r="H322" s="1055"/>
      <c r="I322" s="1055"/>
      <c r="J322" s="1114" t="str">
        <f t="shared" si="21"/>
        <v/>
      </c>
      <c r="K322" s="1055"/>
      <c r="L322" s="1055"/>
      <c r="M322" s="1115" t="str">
        <f t="shared" si="22"/>
        <v/>
      </c>
      <c r="N322" s="1055"/>
      <c r="O322" s="1055"/>
      <c r="P322" s="1115" t="str">
        <f t="shared" si="23"/>
        <v/>
      </c>
      <c r="Q322" s="1055"/>
      <c r="R322" s="1055"/>
      <c r="S322" s="1115" t="str">
        <f t="shared" si="24"/>
        <v/>
      </c>
      <c r="T322" s="1054"/>
      <c r="U322" s="1055"/>
      <c r="V322" s="1253" t="str">
        <f t="shared" si="25"/>
        <v/>
      </c>
      <c r="W322" s="1042"/>
      <c r="X322" s="1042"/>
      <c r="Y322" s="1042"/>
      <c r="Z322" s="1042"/>
      <c r="AA322" s="1042"/>
      <c r="AB322" s="1042"/>
      <c r="AC322" s="1042"/>
      <c r="AD322" s="1042"/>
      <c r="AE322" s="1042"/>
      <c r="AF322" s="1042"/>
      <c r="AG322" s="1042"/>
      <c r="AH322" s="1042"/>
      <c r="AI322" s="1042"/>
      <c r="AJ322" s="1042"/>
      <c r="AK322" s="1042"/>
      <c r="AL322" s="1042"/>
      <c r="AM322" s="1042"/>
      <c r="AN322" s="1042"/>
      <c r="AO322" s="1042"/>
      <c r="AP322" s="1042"/>
      <c r="AQ322" s="1042"/>
    </row>
    <row r="323" spans="1:43" s="33" customFormat="1" x14ac:dyDescent="0.25">
      <c r="A323" s="1042"/>
      <c r="B323" s="1064"/>
      <c r="C323" s="1065"/>
      <c r="D323" s="1064"/>
      <c r="E323" s="1073"/>
      <c r="F323" s="1073"/>
      <c r="G323" s="1052"/>
      <c r="H323" s="1055"/>
      <c r="I323" s="1055"/>
      <c r="J323" s="1114" t="str">
        <f t="shared" si="21"/>
        <v/>
      </c>
      <c r="K323" s="1055"/>
      <c r="L323" s="1055"/>
      <c r="M323" s="1115" t="str">
        <f t="shared" si="22"/>
        <v/>
      </c>
      <c r="N323" s="1055"/>
      <c r="O323" s="1055"/>
      <c r="P323" s="1115" t="str">
        <f t="shared" si="23"/>
        <v/>
      </c>
      <c r="Q323" s="1055"/>
      <c r="R323" s="1055"/>
      <c r="S323" s="1115" t="str">
        <f t="shared" si="24"/>
        <v/>
      </c>
      <c r="T323" s="1054"/>
      <c r="U323" s="1055"/>
      <c r="V323" s="1253" t="str">
        <f t="shared" si="25"/>
        <v/>
      </c>
      <c r="W323" s="1042"/>
      <c r="X323" s="1042"/>
      <c r="Y323" s="1042"/>
      <c r="Z323" s="1042"/>
      <c r="AA323" s="1042"/>
      <c r="AB323" s="1042"/>
      <c r="AC323" s="1042"/>
      <c r="AD323" s="1042"/>
      <c r="AE323" s="1042"/>
      <c r="AF323" s="1042"/>
      <c r="AG323" s="1042"/>
      <c r="AH323" s="1042"/>
      <c r="AI323" s="1042"/>
      <c r="AJ323" s="1042"/>
      <c r="AK323" s="1042"/>
      <c r="AL323" s="1042"/>
      <c r="AM323" s="1042"/>
      <c r="AN323" s="1042"/>
      <c r="AO323" s="1042"/>
      <c r="AP323" s="1042"/>
      <c r="AQ323" s="1042"/>
    </row>
    <row r="324" spans="1:43" s="33" customFormat="1" x14ac:dyDescent="0.25">
      <c r="A324" s="1042"/>
      <c r="B324" s="1064"/>
      <c r="C324" s="1065"/>
      <c r="D324" s="1064"/>
      <c r="E324" s="1073"/>
      <c r="F324" s="1073"/>
      <c r="G324" s="1052"/>
      <c r="H324" s="1055"/>
      <c r="I324" s="1055"/>
      <c r="J324" s="1114" t="str">
        <f t="shared" si="21"/>
        <v/>
      </c>
      <c r="K324" s="1055"/>
      <c r="L324" s="1055"/>
      <c r="M324" s="1115" t="str">
        <f t="shared" si="22"/>
        <v/>
      </c>
      <c r="N324" s="1055"/>
      <c r="O324" s="1055"/>
      <c r="P324" s="1115" t="str">
        <f t="shared" si="23"/>
        <v/>
      </c>
      <c r="Q324" s="1055"/>
      <c r="R324" s="1055"/>
      <c r="S324" s="1115" t="str">
        <f t="shared" si="24"/>
        <v/>
      </c>
      <c r="T324" s="1054"/>
      <c r="U324" s="1055"/>
      <c r="V324" s="1253" t="str">
        <f t="shared" si="25"/>
        <v/>
      </c>
      <c r="W324" s="1042"/>
      <c r="X324" s="1042"/>
      <c r="Y324" s="1042"/>
      <c r="Z324" s="1042"/>
      <c r="AA324" s="1042"/>
      <c r="AB324" s="1042"/>
      <c r="AC324" s="1042"/>
      <c r="AD324" s="1042"/>
      <c r="AE324" s="1042"/>
      <c r="AF324" s="1042"/>
      <c r="AG324" s="1042"/>
      <c r="AH324" s="1042"/>
      <c r="AI324" s="1042"/>
      <c r="AJ324" s="1042"/>
      <c r="AK324" s="1042"/>
      <c r="AL324" s="1042"/>
      <c r="AM324" s="1042"/>
      <c r="AN324" s="1042"/>
      <c r="AO324" s="1042"/>
      <c r="AP324" s="1042"/>
      <c r="AQ324" s="1042"/>
    </row>
    <row r="325" spans="1:43" s="33" customFormat="1" x14ac:dyDescent="0.25">
      <c r="A325" s="1042"/>
      <c r="B325" s="1064"/>
      <c r="C325" s="1065"/>
      <c r="D325" s="1064"/>
      <c r="E325" s="1073"/>
      <c r="F325" s="1073"/>
      <c r="G325" s="1052"/>
      <c r="H325" s="1055"/>
      <c r="I325" s="1055"/>
      <c r="J325" s="1114" t="str">
        <f t="shared" si="21"/>
        <v/>
      </c>
      <c r="K325" s="1055"/>
      <c r="L325" s="1055"/>
      <c r="M325" s="1115" t="str">
        <f t="shared" si="22"/>
        <v/>
      </c>
      <c r="N325" s="1055"/>
      <c r="O325" s="1055"/>
      <c r="P325" s="1115" t="str">
        <f t="shared" si="23"/>
        <v/>
      </c>
      <c r="Q325" s="1055"/>
      <c r="R325" s="1055"/>
      <c r="S325" s="1115" t="str">
        <f t="shared" si="24"/>
        <v/>
      </c>
      <c r="T325" s="1054"/>
      <c r="U325" s="1055"/>
      <c r="V325" s="1253" t="str">
        <f t="shared" si="25"/>
        <v/>
      </c>
      <c r="W325" s="1042"/>
      <c r="X325" s="1042"/>
      <c r="Y325" s="1042"/>
      <c r="Z325" s="1042"/>
      <c r="AA325" s="1042"/>
      <c r="AB325" s="1042"/>
      <c r="AC325" s="1042"/>
      <c r="AD325" s="1042"/>
      <c r="AE325" s="1042"/>
      <c r="AF325" s="1042"/>
      <c r="AG325" s="1042"/>
      <c r="AH325" s="1042"/>
      <c r="AI325" s="1042"/>
      <c r="AJ325" s="1042"/>
      <c r="AK325" s="1042"/>
      <c r="AL325" s="1042"/>
      <c r="AM325" s="1042"/>
      <c r="AN325" s="1042"/>
      <c r="AO325" s="1042"/>
      <c r="AP325" s="1042"/>
      <c r="AQ325" s="1042"/>
    </row>
    <row r="326" spans="1:43" s="33" customFormat="1" x14ac:dyDescent="0.25">
      <c r="A326" s="1042"/>
      <c r="B326" s="1064"/>
      <c r="C326" s="1065"/>
      <c r="D326" s="1064"/>
      <c r="E326" s="1073"/>
      <c r="F326" s="1073"/>
      <c r="G326" s="1052"/>
      <c r="H326" s="1055"/>
      <c r="I326" s="1055"/>
      <c r="J326" s="1114" t="str">
        <f t="shared" si="21"/>
        <v/>
      </c>
      <c r="K326" s="1055"/>
      <c r="L326" s="1055"/>
      <c r="M326" s="1115" t="str">
        <f t="shared" si="22"/>
        <v/>
      </c>
      <c r="N326" s="1055"/>
      <c r="O326" s="1055"/>
      <c r="P326" s="1115" t="str">
        <f t="shared" si="23"/>
        <v/>
      </c>
      <c r="Q326" s="1055"/>
      <c r="R326" s="1055"/>
      <c r="S326" s="1115" t="str">
        <f t="shared" si="24"/>
        <v/>
      </c>
      <c r="T326" s="1054"/>
      <c r="U326" s="1055"/>
      <c r="V326" s="1253" t="str">
        <f t="shared" si="25"/>
        <v/>
      </c>
      <c r="W326" s="1042"/>
      <c r="X326" s="1042"/>
      <c r="Y326" s="1042"/>
      <c r="Z326" s="1042"/>
      <c r="AA326" s="1042"/>
      <c r="AB326" s="1042"/>
      <c r="AC326" s="1042"/>
      <c r="AD326" s="1042"/>
      <c r="AE326" s="1042"/>
      <c r="AF326" s="1042"/>
      <c r="AG326" s="1042"/>
      <c r="AH326" s="1042"/>
      <c r="AI326" s="1042"/>
      <c r="AJ326" s="1042"/>
      <c r="AK326" s="1042"/>
      <c r="AL326" s="1042"/>
      <c r="AM326" s="1042"/>
      <c r="AN326" s="1042"/>
      <c r="AO326" s="1042"/>
      <c r="AP326" s="1042"/>
      <c r="AQ326" s="1042"/>
    </row>
    <row r="327" spans="1:43" s="33" customFormat="1" x14ac:dyDescent="0.25">
      <c r="A327" s="1042"/>
      <c r="B327" s="1064"/>
      <c r="C327" s="1065"/>
      <c r="D327" s="1064"/>
      <c r="E327" s="1073"/>
      <c r="F327" s="1073"/>
      <c r="G327" s="1052"/>
      <c r="H327" s="1055"/>
      <c r="I327" s="1055"/>
      <c r="J327" s="1114" t="str">
        <f t="shared" si="21"/>
        <v/>
      </c>
      <c r="K327" s="1055"/>
      <c r="L327" s="1055"/>
      <c r="M327" s="1115" t="str">
        <f t="shared" si="22"/>
        <v/>
      </c>
      <c r="N327" s="1055"/>
      <c r="O327" s="1055"/>
      <c r="P327" s="1115" t="str">
        <f t="shared" si="23"/>
        <v/>
      </c>
      <c r="Q327" s="1055"/>
      <c r="R327" s="1055"/>
      <c r="S327" s="1115" t="str">
        <f t="shared" si="24"/>
        <v/>
      </c>
      <c r="T327" s="1054"/>
      <c r="U327" s="1055"/>
      <c r="V327" s="1253" t="str">
        <f t="shared" si="25"/>
        <v/>
      </c>
      <c r="W327" s="1042"/>
      <c r="X327" s="1042"/>
      <c r="Y327" s="1042"/>
      <c r="Z327" s="1042"/>
      <c r="AA327" s="1042"/>
      <c r="AB327" s="1042"/>
      <c r="AC327" s="1042"/>
      <c r="AD327" s="1042"/>
      <c r="AE327" s="1042"/>
      <c r="AF327" s="1042"/>
      <c r="AG327" s="1042"/>
      <c r="AH327" s="1042"/>
      <c r="AI327" s="1042"/>
      <c r="AJ327" s="1042"/>
      <c r="AK327" s="1042"/>
      <c r="AL327" s="1042"/>
      <c r="AM327" s="1042"/>
      <c r="AN327" s="1042"/>
      <c r="AO327" s="1042"/>
      <c r="AP327" s="1042"/>
      <c r="AQ327" s="1042"/>
    </row>
    <row r="328" spans="1:43" s="33" customFormat="1" x14ac:dyDescent="0.25">
      <c r="A328" s="1042"/>
      <c r="B328" s="1064"/>
      <c r="C328" s="1065"/>
      <c r="D328" s="1064"/>
      <c r="E328" s="1073"/>
      <c r="F328" s="1073"/>
      <c r="G328" s="1052"/>
      <c r="H328" s="1055"/>
      <c r="I328" s="1055"/>
      <c r="J328" s="1114" t="str">
        <f t="shared" si="21"/>
        <v/>
      </c>
      <c r="K328" s="1055"/>
      <c r="L328" s="1055"/>
      <c r="M328" s="1115" t="str">
        <f t="shared" si="22"/>
        <v/>
      </c>
      <c r="N328" s="1055"/>
      <c r="O328" s="1055"/>
      <c r="P328" s="1115" t="str">
        <f t="shared" si="23"/>
        <v/>
      </c>
      <c r="Q328" s="1055"/>
      <c r="R328" s="1055"/>
      <c r="S328" s="1115" t="str">
        <f t="shared" si="24"/>
        <v/>
      </c>
      <c r="T328" s="1054"/>
      <c r="U328" s="1055"/>
      <c r="V328" s="1253" t="str">
        <f t="shared" si="25"/>
        <v/>
      </c>
      <c r="W328" s="1042"/>
      <c r="X328" s="1042"/>
      <c r="Y328" s="1042"/>
      <c r="Z328" s="1042"/>
      <c r="AA328" s="1042"/>
      <c r="AB328" s="1042"/>
      <c r="AC328" s="1042"/>
      <c r="AD328" s="1042"/>
      <c r="AE328" s="1042"/>
      <c r="AF328" s="1042"/>
      <c r="AG328" s="1042"/>
      <c r="AH328" s="1042"/>
      <c r="AI328" s="1042"/>
      <c r="AJ328" s="1042"/>
      <c r="AK328" s="1042"/>
      <c r="AL328" s="1042"/>
      <c r="AM328" s="1042"/>
      <c r="AN328" s="1042"/>
      <c r="AO328" s="1042"/>
      <c r="AP328" s="1042"/>
      <c r="AQ328" s="1042"/>
    </row>
    <row r="329" spans="1:43" s="33" customFormat="1" x14ac:dyDescent="0.25">
      <c r="A329" s="1042"/>
      <c r="B329" s="1064"/>
      <c r="C329" s="1065"/>
      <c r="D329" s="1064"/>
      <c r="E329" s="1073"/>
      <c r="F329" s="1073"/>
      <c r="G329" s="1052"/>
      <c r="H329" s="1055"/>
      <c r="I329" s="1055"/>
      <c r="J329" s="1114" t="str">
        <f t="shared" si="21"/>
        <v/>
      </c>
      <c r="K329" s="1055"/>
      <c r="L329" s="1055"/>
      <c r="M329" s="1115" t="str">
        <f t="shared" si="22"/>
        <v/>
      </c>
      <c r="N329" s="1055"/>
      <c r="O329" s="1055"/>
      <c r="P329" s="1115" t="str">
        <f t="shared" si="23"/>
        <v/>
      </c>
      <c r="Q329" s="1055"/>
      <c r="R329" s="1055"/>
      <c r="S329" s="1115" t="str">
        <f t="shared" si="24"/>
        <v/>
      </c>
      <c r="T329" s="1054"/>
      <c r="U329" s="1055"/>
      <c r="V329" s="1253" t="str">
        <f t="shared" si="25"/>
        <v/>
      </c>
      <c r="W329" s="1042"/>
      <c r="X329" s="1042"/>
      <c r="Y329" s="1042"/>
      <c r="Z329" s="1042"/>
      <c r="AA329" s="1042"/>
      <c r="AB329" s="1042"/>
      <c r="AC329" s="1042"/>
      <c r="AD329" s="1042"/>
      <c r="AE329" s="1042"/>
      <c r="AF329" s="1042"/>
      <c r="AG329" s="1042"/>
      <c r="AH329" s="1042"/>
      <c r="AI329" s="1042"/>
      <c r="AJ329" s="1042"/>
      <c r="AK329" s="1042"/>
      <c r="AL329" s="1042"/>
      <c r="AM329" s="1042"/>
      <c r="AN329" s="1042"/>
      <c r="AO329" s="1042"/>
      <c r="AP329" s="1042"/>
      <c r="AQ329" s="1042"/>
    </row>
    <row r="330" spans="1:43" s="33" customFormat="1" x14ac:dyDescent="0.25">
      <c r="A330" s="1042"/>
      <c r="B330" s="1064"/>
      <c r="C330" s="1065"/>
      <c r="D330" s="1064"/>
      <c r="E330" s="1073"/>
      <c r="F330" s="1073"/>
      <c r="G330" s="1052"/>
      <c r="H330" s="1055"/>
      <c r="I330" s="1055"/>
      <c r="J330" s="1114" t="str">
        <f t="shared" si="21"/>
        <v/>
      </c>
      <c r="K330" s="1055"/>
      <c r="L330" s="1055"/>
      <c r="M330" s="1115" t="str">
        <f t="shared" si="22"/>
        <v/>
      </c>
      <c r="N330" s="1055"/>
      <c r="O330" s="1055"/>
      <c r="P330" s="1115" t="str">
        <f t="shared" si="23"/>
        <v/>
      </c>
      <c r="Q330" s="1055"/>
      <c r="R330" s="1055"/>
      <c r="S330" s="1115" t="str">
        <f t="shared" si="24"/>
        <v/>
      </c>
      <c r="T330" s="1054"/>
      <c r="U330" s="1055"/>
      <c r="V330" s="1253" t="str">
        <f t="shared" si="25"/>
        <v/>
      </c>
      <c r="W330" s="1042"/>
      <c r="X330" s="1042"/>
      <c r="Y330" s="1042"/>
      <c r="Z330" s="1042"/>
      <c r="AA330" s="1042"/>
      <c r="AB330" s="1042"/>
      <c r="AC330" s="1042"/>
      <c r="AD330" s="1042"/>
      <c r="AE330" s="1042"/>
      <c r="AF330" s="1042"/>
      <c r="AG330" s="1042"/>
      <c r="AH330" s="1042"/>
      <c r="AI330" s="1042"/>
      <c r="AJ330" s="1042"/>
      <c r="AK330" s="1042"/>
      <c r="AL330" s="1042"/>
      <c r="AM330" s="1042"/>
      <c r="AN330" s="1042"/>
      <c r="AO330" s="1042"/>
      <c r="AP330" s="1042"/>
      <c r="AQ330" s="1042"/>
    </row>
    <row r="331" spans="1:43" s="33" customFormat="1" x14ac:dyDescent="0.25">
      <c r="A331" s="1042"/>
      <c r="B331" s="1064"/>
      <c r="C331" s="1065"/>
      <c r="D331" s="1064"/>
      <c r="E331" s="1073"/>
      <c r="F331" s="1073"/>
      <c r="G331" s="1052"/>
      <c r="H331" s="1055"/>
      <c r="I331" s="1055"/>
      <c r="J331" s="1114" t="str">
        <f t="shared" si="21"/>
        <v/>
      </c>
      <c r="K331" s="1055"/>
      <c r="L331" s="1055"/>
      <c r="M331" s="1115" t="str">
        <f t="shared" si="22"/>
        <v/>
      </c>
      <c r="N331" s="1055"/>
      <c r="O331" s="1055"/>
      <c r="P331" s="1115" t="str">
        <f t="shared" si="23"/>
        <v/>
      </c>
      <c r="Q331" s="1055"/>
      <c r="R331" s="1055"/>
      <c r="S331" s="1115" t="str">
        <f t="shared" si="24"/>
        <v/>
      </c>
      <c r="T331" s="1054"/>
      <c r="U331" s="1055"/>
      <c r="V331" s="1253" t="str">
        <f t="shared" si="25"/>
        <v/>
      </c>
      <c r="W331" s="1042"/>
      <c r="X331" s="1042"/>
      <c r="Y331" s="1042"/>
      <c r="Z331" s="1042"/>
      <c r="AA331" s="1042"/>
      <c r="AB331" s="1042"/>
      <c r="AC331" s="1042"/>
      <c r="AD331" s="1042"/>
      <c r="AE331" s="1042"/>
      <c r="AF331" s="1042"/>
      <c r="AG331" s="1042"/>
      <c r="AH331" s="1042"/>
      <c r="AI331" s="1042"/>
      <c r="AJ331" s="1042"/>
      <c r="AK331" s="1042"/>
      <c r="AL331" s="1042"/>
      <c r="AM331" s="1042"/>
      <c r="AN331" s="1042"/>
      <c r="AO331" s="1042"/>
      <c r="AP331" s="1042"/>
      <c r="AQ331" s="1042"/>
    </row>
    <row r="332" spans="1:43" s="33" customFormat="1" x14ac:dyDescent="0.25">
      <c r="A332" s="1042"/>
      <c r="B332" s="1064"/>
      <c r="C332" s="1065"/>
      <c r="D332" s="1064"/>
      <c r="E332" s="1073"/>
      <c r="F332" s="1073"/>
      <c r="G332" s="1052"/>
      <c r="H332" s="1055"/>
      <c r="I332" s="1055"/>
      <c r="J332" s="1114" t="str">
        <f t="shared" si="21"/>
        <v/>
      </c>
      <c r="K332" s="1055"/>
      <c r="L332" s="1055"/>
      <c r="M332" s="1115" t="str">
        <f t="shared" si="22"/>
        <v/>
      </c>
      <c r="N332" s="1055"/>
      <c r="O332" s="1055"/>
      <c r="P332" s="1115" t="str">
        <f t="shared" si="23"/>
        <v/>
      </c>
      <c r="Q332" s="1055"/>
      <c r="R332" s="1055"/>
      <c r="S332" s="1115" t="str">
        <f t="shared" si="24"/>
        <v/>
      </c>
      <c r="T332" s="1054"/>
      <c r="U332" s="1055"/>
      <c r="V332" s="1253" t="str">
        <f t="shared" si="25"/>
        <v/>
      </c>
      <c r="W332" s="1042"/>
      <c r="X332" s="1042"/>
      <c r="Y332" s="1042"/>
      <c r="Z332" s="1042"/>
      <c r="AA332" s="1042"/>
      <c r="AB332" s="1042"/>
      <c r="AC332" s="1042"/>
      <c r="AD332" s="1042"/>
      <c r="AE332" s="1042"/>
      <c r="AF332" s="1042"/>
      <c r="AG332" s="1042"/>
      <c r="AH332" s="1042"/>
      <c r="AI332" s="1042"/>
      <c r="AJ332" s="1042"/>
      <c r="AK332" s="1042"/>
      <c r="AL332" s="1042"/>
      <c r="AM332" s="1042"/>
      <c r="AN332" s="1042"/>
      <c r="AO332" s="1042"/>
      <c r="AP332" s="1042"/>
      <c r="AQ332" s="1042"/>
    </row>
    <row r="333" spans="1:43" s="33" customFormat="1" x14ac:dyDescent="0.25">
      <c r="A333" s="1042"/>
      <c r="B333" s="1064"/>
      <c r="C333" s="1065"/>
      <c r="D333" s="1064"/>
      <c r="E333" s="1073"/>
      <c r="F333" s="1073"/>
      <c r="G333" s="1052"/>
      <c r="H333" s="1055"/>
      <c r="I333" s="1055"/>
      <c r="J333" s="1114" t="str">
        <f t="shared" si="21"/>
        <v/>
      </c>
      <c r="K333" s="1055"/>
      <c r="L333" s="1055"/>
      <c r="M333" s="1115" t="str">
        <f t="shared" si="22"/>
        <v/>
      </c>
      <c r="N333" s="1055"/>
      <c r="O333" s="1055"/>
      <c r="P333" s="1115" t="str">
        <f t="shared" si="23"/>
        <v/>
      </c>
      <c r="Q333" s="1055"/>
      <c r="R333" s="1055"/>
      <c r="S333" s="1115" t="str">
        <f t="shared" si="24"/>
        <v/>
      </c>
      <c r="T333" s="1054"/>
      <c r="U333" s="1055"/>
      <c r="V333" s="1253" t="str">
        <f t="shared" si="25"/>
        <v/>
      </c>
      <c r="W333" s="1042"/>
      <c r="X333" s="1042"/>
      <c r="Y333" s="1042"/>
      <c r="Z333" s="1042"/>
      <c r="AA333" s="1042"/>
      <c r="AB333" s="1042"/>
      <c r="AC333" s="1042"/>
      <c r="AD333" s="1042"/>
      <c r="AE333" s="1042"/>
      <c r="AF333" s="1042"/>
      <c r="AG333" s="1042"/>
      <c r="AH333" s="1042"/>
      <c r="AI333" s="1042"/>
      <c r="AJ333" s="1042"/>
      <c r="AK333" s="1042"/>
      <c r="AL333" s="1042"/>
      <c r="AM333" s="1042"/>
      <c r="AN333" s="1042"/>
      <c r="AO333" s="1042"/>
      <c r="AP333" s="1042"/>
      <c r="AQ333" s="1042"/>
    </row>
    <row r="334" spans="1:43" s="33" customFormat="1" x14ac:dyDescent="0.25">
      <c r="A334" s="1042"/>
      <c r="B334" s="1064"/>
      <c r="C334" s="1065"/>
      <c r="D334" s="1064"/>
      <c r="E334" s="1076"/>
      <c r="F334" s="1076"/>
      <c r="G334" s="1052"/>
      <c r="H334" s="1055"/>
      <c r="I334" s="1055"/>
      <c r="J334" s="1114" t="str">
        <f t="shared" si="21"/>
        <v/>
      </c>
      <c r="K334" s="1055"/>
      <c r="L334" s="1055"/>
      <c r="M334" s="1115" t="str">
        <f t="shared" si="22"/>
        <v/>
      </c>
      <c r="N334" s="1055"/>
      <c r="O334" s="1055"/>
      <c r="P334" s="1115" t="str">
        <f t="shared" si="23"/>
        <v/>
      </c>
      <c r="Q334" s="1055"/>
      <c r="R334" s="1055"/>
      <c r="S334" s="1115" t="str">
        <f t="shared" si="24"/>
        <v/>
      </c>
      <c r="T334" s="1054"/>
      <c r="U334" s="1055"/>
      <c r="V334" s="1253" t="str">
        <f t="shared" si="25"/>
        <v/>
      </c>
      <c r="W334" s="1042"/>
      <c r="X334" s="1042"/>
      <c r="Y334" s="1042"/>
      <c r="Z334" s="1042"/>
      <c r="AA334" s="1042"/>
      <c r="AB334" s="1042"/>
      <c r="AC334" s="1042"/>
      <c r="AD334" s="1042"/>
      <c r="AE334" s="1042"/>
      <c r="AF334" s="1042"/>
      <c r="AG334" s="1042"/>
      <c r="AH334" s="1042"/>
      <c r="AI334" s="1042"/>
      <c r="AJ334" s="1042"/>
      <c r="AK334" s="1042"/>
      <c r="AL334" s="1042"/>
      <c r="AM334" s="1042"/>
      <c r="AN334" s="1042"/>
      <c r="AO334" s="1042"/>
      <c r="AP334" s="1042"/>
      <c r="AQ334" s="1042"/>
    </row>
    <row r="335" spans="1:43" s="33" customFormat="1" x14ac:dyDescent="0.25">
      <c r="A335" s="1042"/>
      <c r="B335" s="1064"/>
      <c r="C335" s="1065"/>
      <c r="D335" s="1064"/>
      <c r="E335" s="1067"/>
      <c r="F335" s="1067"/>
      <c r="G335" s="1052"/>
      <c r="H335" s="1055"/>
      <c r="I335" s="1055"/>
      <c r="J335" s="1114" t="str">
        <f t="shared" si="21"/>
        <v/>
      </c>
      <c r="K335" s="1055"/>
      <c r="L335" s="1055"/>
      <c r="M335" s="1115" t="str">
        <f t="shared" si="22"/>
        <v/>
      </c>
      <c r="N335" s="1055"/>
      <c r="O335" s="1055"/>
      <c r="P335" s="1115" t="str">
        <f t="shared" si="23"/>
        <v/>
      </c>
      <c r="Q335" s="1055"/>
      <c r="R335" s="1055"/>
      <c r="S335" s="1115" t="str">
        <f t="shared" si="24"/>
        <v/>
      </c>
      <c r="T335" s="1054"/>
      <c r="U335" s="1055"/>
      <c r="V335" s="1253" t="str">
        <f t="shared" si="25"/>
        <v/>
      </c>
      <c r="W335" s="1042"/>
      <c r="X335" s="1042"/>
      <c r="Y335" s="1042"/>
      <c r="Z335" s="1042"/>
      <c r="AA335" s="1042"/>
      <c r="AB335" s="1042"/>
      <c r="AC335" s="1042"/>
      <c r="AD335" s="1042"/>
      <c r="AE335" s="1042"/>
      <c r="AF335" s="1042"/>
      <c r="AG335" s="1042"/>
      <c r="AH335" s="1042"/>
      <c r="AI335" s="1042"/>
      <c r="AJ335" s="1042"/>
      <c r="AK335" s="1042"/>
      <c r="AL335" s="1042"/>
      <c r="AM335" s="1042"/>
      <c r="AN335" s="1042"/>
      <c r="AO335" s="1042"/>
      <c r="AP335" s="1042"/>
      <c r="AQ335" s="1042"/>
    </row>
    <row r="336" spans="1:43" s="33" customFormat="1" x14ac:dyDescent="0.25">
      <c r="A336" s="1042"/>
      <c r="B336" s="1064"/>
      <c r="C336" s="1065"/>
      <c r="D336" s="1064"/>
      <c r="E336" s="1077"/>
      <c r="F336" s="1077"/>
      <c r="G336" s="1052"/>
      <c r="H336" s="1055"/>
      <c r="I336" s="1055"/>
      <c r="J336" s="1114" t="str">
        <f t="shared" si="21"/>
        <v/>
      </c>
      <c r="K336" s="1055"/>
      <c r="L336" s="1055"/>
      <c r="M336" s="1115" t="str">
        <f t="shared" si="22"/>
        <v/>
      </c>
      <c r="N336" s="1055"/>
      <c r="O336" s="1055"/>
      <c r="P336" s="1115" t="str">
        <f t="shared" si="23"/>
        <v/>
      </c>
      <c r="Q336" s="1055"/>
      <c r="R336" s="1055"/>
      <c r="S336" s="1115" t="str">
        <f t="shared" si="24"/>
        <v/>
      </c>
      <c r="T336" s="1054"/>
      <c r="U336" s="1055"/>
      <c r="V336" s="1253" t="str">
        <f t="shared" si="25"/>
        <v/>
      </c>
      <c r="W336" s="1042"/>
      <c r="X336" s="1042"/>
      <c r="Y336" s="1042"/>
      <c r="Z336" s="1042"/>
      <c r="AA336" s="1042"/>
      <c r="AB336" s="1042"/>
      <c r="AC336" s="1042"/>
      <c r="AD336" s="1042"/>
      <c r="AE336" s="1042"/>
      <c r="AF336" s="1042"/>
      <c r="AG336" s="1042"/>
      <c r="AH336" s="1042"/>
      <c r="AI336" s="1042"/>
      <c r="AJ336" s="1042"/>
      <c r="AK336" s="1042"/>
      <c r="AL336" s="1042"/>
      <c r="AM336" s="1042"/>
      <c r="AN336" s="1042"/>
      <c r="AO336" s="1042"/>
      <c r="AP336" s="1042"/>
      <c r="AQ336" s="1042"/>
    </row>
    <row r="337" spans="1:43" s="33" customFormat="1" x14ac:dyDescent="0.25">
      <c r="A337" s="1042"/>
      <c r="B337" s="1064"/>
      <c r="C337" s="1065"/>
      <c r="D337" s="1064"/>
      <c r="E337" s="1078"/>
      <c r="F337" s="1078"/>
      <c r="G337" s="1052"/>
      <c r="H337" s="1055"/>
      <c r="I337" s="1055"/>
      <c r="J337" s="1114" t="str">
        <f t="shared" si="21"/>
        <v/>
      </c>
      <c r="K337" s="1055"/>
      <c r="L337" s="1055"/>
      <c r="M337" s="1115" t="str">
        <f t="shared" si="22"/>
        <v/>
      </c>
      <c r="N337" s="1055"/>
      <c r="O337" s="1055"/>
      <c r="P337" s="1115" t="str">
        <f t="shared" si="23"/>
        <v/>
      </c>
      <c r="Q337" s="1055"/>
      <c r="R337" s="1055"/>
      <c r="S337" s="1115" t="str">
        <f t="shared" si="24"/>
        <v/>
      </c>
      <c r="T337" s="1054"/>
      <c r="U337" s="1055"/>
      <c r="V337" s="1253" t="str">
        <f t="shared" si="25"/>
        <v/>
      </c>
      <c r="W337" s="1042"/>
      <c r="X337" s="1042"/>
      <c r="Y337" s="1042"/>
      <c r="Z337" s="1042"/>
      <c r="AA337" s="1042"/>
      <c r="AB337" s="1042"/>
      <c r="AC337" s="1042"/>
      <c r="AD337" s="1042"/>
      <c r="AE337" s="1042"/>
      <c r="AF337" s="1042"/>
      <c r="AG337" s="1042"/>
      <c r="AH337" s="1042"/>
      <c r="AI337" s="1042"/>
      <c r="AJ337" s="1042"/>
      <c r="AK337" s="1042"/>
      <c r="AL337" s="1042"/>
      <c r="AM337" s="1042"/>
      <c r="AN337" s="1042"/>
      <c r="AO337" s="1042"/>
      <c r="AP337" s="1042"/>
      <c r="AQ337" s="1042"/>
    </row>
    <row r="338" spans="1:43" s="33" customFormat="1" x14ac:dyDescent="0.25">
      <c r="A338" s="1042"/>
      <c r="B338" s="1064"/>
      <c r="C338" s="1065"/>
      <c r="D338" s="1064"/>
      <c r="E338" s="1078"/>
      <c r="F338" s="1078"/>
      <c r="G338" s="1052"/>
      <c r="H338" s="1055"/>
      <c r="I338" s="1055"/>
      <c r="J338" s="1114" t="str">
        <f t="shared" si="21"/>
        <v/>
      </c>
      <c r="K338" s="1055"/>
      <c r="L338" s="1055"/>
      <c r="M338" s="1115" t="str">
        <f t="shared" si="22"/>
        <v/>
      </c>
      <c r="N338" s="1055"/>
      <c r="O338" s="1055"/>
      <c r="P338" s="1115" t="str">
        <f t="shared" si="23"/>
        <v/>
      </c>
      <c r="Q338" s="1055"/>
      <c r="R338" s="1055"/>
      <c r="S338" s="1115" t="str">
        <f t="shared" si="24"/>
        <v/>
      </c>
      <c r="T338" s="1054"/>
      <c r="U338" s="1055"/>
      <c r="V338" s="1253" t="str">
        <f t="shared" si="25"/>
        <v/>
      </c>
      <c r="W338" s="1042"/>
      <c r="X338" s="1042"/>
      <c r="Y338" s="1042"/>
      <c r="Z338" s="1042"/>
      <c r="AA338" s="1042"/>
      <c r="AB338" s="1042"/>
      <c r="AC338" s="1042"/>
      <c r="AD338" s="1042"/>
      <c r="AE338" s="1042"/>
      <c r="AF338" s="1042"/>
      <c r="AG338" s="1042"/>
      <c r="AH338" s="1042"/>
      <c r="AI338" s="1042"/>
      <c r="AJ338" s="1042"/>
      <c r="AK338" s="1042"/>
      <c r="AL338" s="1042"/>
      <c r="AM338" s="1042"/>
      <c r="AN338" s="1042"/>
      <c r="AO338" s="1042"/>
      <c r="AP338" s="1042"/>
      <c r="AQ338" s="1042"/>
    </row>
    <row r="339" spans="1:43" s="33" customFormat="1" x14ac:dyDescent="0.25">
      <c r="A339" s="1042"/>
      <c r="B339" s="1064"/>
      <c r="C339" s="1065"/>
      <c r="D339" s="1064"/>
      <c r="E339" s="1078"/>
      <c r="F339" s="1078"/>
      <c r="G339" s="1052"/>
      <c r="H339" s="1055"/>
      <c r="I339" s="1055"/>
      <c r="J339" s="1114" t="str">
        <f t="shared" si="21"/>
        <v/>
      </c>
      <c r="K339" s="1055"/>
      <c r="L339" s="1055"/>
      <c r="M339" s="1115" t="str">
        <f t="shared" si="22"/>
        <v/>
      </c>
      <c r="N339" s="1055"/>
      <c r="O339" s="1055"/>
      <c r="P339" s="1115" t="str">
        <f t="shared" si="23"/>
        <v/>
      </c>
      <c r="Q339" s="1055"/>
      <c r="R339" s="1055"/>
      <c r="S339" s="1115" t="str">
        <f t="shared" si="24"/>
        <v/>
      </c>
      <c r="T339" s="1054"/>
      <c r="U339" s="1055"/>
      <c r="V339" s="1253" t="str">
        <f t="shared" si="25"/>
        <v/>
      </c>
      <c r="W339" s="1042"/>
      <c r="X339" s="1042"/>
      <c r="Y339" s="1042"/>
      <c r="Z339" s="1042"/>
      <c r="AA339" s="1042"/>
      <c r="AB339" s="1042"/>
      <c r="AC339" s="1042"/>
      <c r="AD339" s="1042"/>
      <c r="AE339" s="1042"/>
      <c r="AF339" s="1042"/>
      <c r="AG339" s="1042"/>
      <c r="AH339" s="1042"/>
      <c r="AI339" s="1042"/>
      <c r="AJ339" s="1042"/>
      <c r="AK339" s="1042"/>
      <c r="AL339" s="1042"/>
      <c r="AM339" s="1042"/>
      <c r="AN339" s="1042"/>
      <c r="AO339" s="1042"/>
      <c r="AP339" s="1042"/>
      <c r="AQ339" s="1042"/>
    </row>
    <row r="340" spans="1:43" s="33" customFormat="1" x14ac:dyDescent="0.25">
      <c r="A340" s="1042"/>
      <c r="B340" s="1064"/>
      <c r="C340" s="1065"/>
      <c r="D340" s="1064"/>
      <c r="E340" s="1078"/>
      <c r="F340" s="1078"/>
      <c r="G340" s="1052"/>
      <c r="H340" s="1055"/>
      <c r="I340" s="1055"/>
      <c r="J340" s="1114" t="str">
        <f t="shared" si="21"/>
        <v/>
      </c>
      <c r="K340" s="1055"/>
      <c r="L340" s="1055"/>
      <c r="M340" s="1115" t="str">
        <f t="shared" si="22"/>
        <v/>
      </c>
      <c r="N340" s="1055"/>
      <c r="O340" s="1055"/>
      <c r="P340" s="1115" t="str">
        <f t="shared" si="23"/>
        <v/>
      </c>
      <c r="Q340" s="1055"/>
      <c r="R340" s="1055"/>
      <c r="S340" s="1115" t="str">
        <f t="shared" si="24"/>
        <v/>
      </c>
      <c r="T340" s="1054"/>
      <c r="U340" s="1055"/>
      <c r="V340" s="1253" t="str">
        <f t="shared" si="25"/>
        <v/>
      </c>
      <c r="W340" s="1042"/>
      <c r="X340" s="1042"/>
      <c r="Y340" s="1042"/>
      <c r="Z340" s="1042"/>
      <c r="AA340" s="1042"/>
      <c r="AB340" s="1042"/>
      <c r="AC340" s="1042"/>
      <c r="AD340" s="1042"/>
      <c r="AE340" s="1042"/>
      <c r="AF340" s="1042"/>
      <c r="AG340" s="1042"/>
      <c r="AH340" s="1042"/>
      <c r="AI340" s="1042"/>
      <c r="AJ340" s="1042"/>
      <c r="AK340" s="1042"/>
      <c r="AL340" s="1042"/>
      <c r="AM340" s="1042"/>
      <c r="AN340" s="1042"/>
      <c r="AO340" s="1042"/>
      <c r="AP340" s="1042"/>
      <c r="AQ340" s="1042"/>
    </row>
    <row r="341" spans="1:43" s="33" customFormat="1" x14ac:dyDescent="0.25">
      <c r="A341" s="1042"/>
      <c r="B341" s="1064"/>
      <c r="C341" s="1065"/>
      <c r="D341" s="1064"/>
      <c r="E341" s="1078"/>
      <c r="F341" s="1078"/>
      <c r="G341" s="1052"/>
      <c r="H341" s="1055"/>
      <c r="I341" s="1055"/>
      <c r="J341" s="1114" t="str">
        <f t="shared" si="21"/>
        <v/>
      </c>
      <c r="K341" s="1055"/>
      <c r="L341" s="1055"/>
      <c r="M341" s="1115" t="str">
        <f t="shared" si="22"/>
        <v/>
      </c>
      <c r="N341" s="1055"/>
      <c r="O341" s="1055"/>
      <c r="P341" s="1115" t="str">
        <f t="shared" si="23"/>
        <v/>
      </c>
      <c r="Q341" s="1055"/>
      <c r="R341" s="1055"/>
      <c r="S341" s="1115" t="str">
        <f t="shared" si="24"/>
        <v/>
      </c>
      <c r="T341" s="1054"/>
      <c r="U341" s="1055"/>
      <c r="V341" s="1253" t="str">
        <f t="shared" si="25"/>
        <v/>
      </c>
      <c r="W341" s="1042"/>
      <c r="X341" s="1042"/>
      <c r="Y341" s="1042"/>
      <c r="Z341" s="1042"/>
      <c r="AA341" s="1042"/>
      <c r="AB341" s="1042"/>
      <c r="AC341" s="1042"/>
      <c r="AD341" s="1042"/>
      <c r="AE341" s="1042"/>
      <c r="AF341" s="1042"/>
      <c r="AG341" s="1042"/>
      <c r="AH341" s="1042"/>
      <c r="AI341" s="1042"/>
      <c r="AJ341" s="1042"/>
      <c r="AK341" s="1042"/>
      <c r="AL341" s="1042"/>
      <c r="AM341" s="1042"/>
      <c r="AN341" s="1042"/>
      <c r="AO341" s="1042"/>
      <c r="AP341" s="1042"/>
      <c r="AQ341" s="1042"/>
    </row>
    <row r="342" spans="1:43" s="33" customFormat="1" x14ac:dyDescent="0.25">
      <c r="A342" s="1042"/>
      <c r="B342" s="1064"/>
      <c r="C342" s="1065"/>
      <c r="D342" s="1064"/>
      <c r="E342" s="1078"/>
      <c r="F342" s="1078"/>
      <c r="G342" s="1052"/>
      <c r="H342" s="1055"/>
      <c r="I342" s="1055"/>
      <c r="J342" s="1114" t="str">
        <f t="shared" si="21"/>
        <v/>
      </c>
      <c r="K342" s="1055"/>
      <c r="L342" s="1055"/>
      <c r="M342" s="1115" t="str">
        <f t="shared" si="22"/>
        <v/>
      </c>
      <c r="N342" s="1055"/>
      <c r="O342" s="1055"/>
      <c r="P342" s="1115" t="str">
        <f t="shared" si="23"/>
        <v/>
      </c>
      <c r="Q342" s="1055"/>
      <c r="R342" s="1055"/>
      <c r="S342" s="1115" t="str">
        <f t="shared" si="24"/>
        <v/>
      </c>
      <c r="T342" s="1054"/>
      <c r="U342" s="1055"/>
      <c r="V342" s="1253" t="str">
        <f t="shared" si="25"/>
        <v/>
      </c>
      <c r="W342" s="1042"/>
      <c r="X342" s="1042"/>
      <c r="Y342" s="1042"/>
      <c r="Z342" s="1042"/>
      <c r="AA342" s="1042"/>
      <c r="AB342" s="1042"/>
      <c r="AC342" s="1042"/>
      <c r="AD342" s="1042"/>
      <c r="AE342" s="1042"/>
      <c r="AF342" s="1042"/>
      <c r="AG342" s="1042"/>
      <c r="AH342" s="1042"/>
      <c r="AI342" s="1042"/>
      <c r="AJ342" s="1042"/>
      <c r="AK342" s="1042"/>
      <c r="AL342" s="1042"/>
      <c r="AM342" s="1042"/>
      <c r="AN342" s="1042"/>
      <c r="AO342" s="1042"/>
      <c r="AP342" s="1042"/>
      <c r="AQ342" s="1042"/>
    </row>
    <row r="343" spans="1:43" s="33" customFormat="1" x14ac:dyDescent="0.25">
      <c r="A343" s="1042"/>
      <c r="B343" s="1064"/>
      <c r="C343" s="1065"/>
      <c r="D343" s="1064"/>
      <c r="E343" s="1078"/>
      <c r="F343" s="1078"/>
      <c r="G343" s="1052"/>
      <c r="H343" s="1055"/>
      <c r="I343" s="1055"/>
      <c r="J343" s="1114" t="str">
        <f t="shared" si="21"/>
        <v/>
      </c>
      <c r="K343" s="1055"/>
      <c r="L343" s="1055"/>
      <c r="M343" s="1115" t="str">
        <f t="shared" si="22"/>
        <v/>
      </c>
      <c r="N343" s="1055"/>
      <c r="O343" s="1055"/>
      <c r="P343" s="1115" t="str">
        <f t="shared" si="23"/>
        <v/>
      </c>
      <c r="Q343" s="1055"/>
      <c r="R343" s="1055"/>
      <c r="S343" s="1115" t="str">
        <f t="shared" si="24"/>
        <v/>
      </c>
      <c r="T343" s="1054"/>
      <c r="U343" s="1055"/>
      <c r="V343" s="1253" t="str">
        <f t="shared" si="25"/>
        <v/>
      </c>
      <c r="W343" s="1042"/>
      <c r="X343" s="1042"/>
      <c r="Y343" s="1042"/>
      <c r="Z343" s="1042"/>
      <c r="AA343" s="1042"/>
      <c r="AB343" s="1042"/>
      <c r="AC343" s="1042"/>
      <c r="AD343" s="1042"/>
      <c r="AE343" s="1042"/>
      <c r="AF343" s="1042"/>
      <c r="AG343" s="1042"/>
      <c r="AH343" s="1042"/>
      <c r="AI343" s="1042"/>
      <c r="AJ343" s="1042"/>
      <c r="AK343" s="1042"/>
      <c r="AL343" s="1042"/>
      <c r="AM343" s="1042"/>
      <c r="AN343" s="1042"/>
      <c r="AO343" s="1042"/>
      <c r="AP343" s="1042"/>
      <c r="AQ343" s="1042"/>
    </row>
    <row r="344" spans="1:43" s="33" customFormat="1" x14ac:dyDescent="0.25">
      <c r="A344" s="1042"/>
      <c r="B344" s="1064"/>
      <c r="C344" s="1065"/>
      <c r="D344" s="1064"/>
      <c r="E344" s="1079"/>
      <c r="F344" s="1079"/>
      <c r="G344" s="1052"/>
      <c r="H344" s="1055"/>
      <c r="I344" s="1055"/>
      <c r="J344" s="1114" t="str">
        <f t="shared" si="21"/>
        <v/>
      </c>
      <c r="K344" s="1055"/>
      <c r="L344" s="1055"/>
      <c r="M344" s="1115" t="str">
        <f t="shared" si="22"/>
        <v/>
      </c>
      <c r="N344" s="1055"/>
      <c r="O344" s="1055"/>
      <c r="P344" s="1115" t="str">
        <f t="shared" si="23"/>
        <v/>
      </c>
      <c r="Q344" s="1055"/>
      <c r="R344" s="1055"/>
      <c r="S344" s="1115" t="str">
        <f t="shared" si="24"/>
        <v/>
      </c>
      <c r="T344" s="1054"/>
      <c r="U344" s="1055"/>
      <c r="V344" s="1253" t="str">
        <f t="shared" si="25"/>
        <v/>
      </c>
      <c r="W344" s="1042"/>
      <c r="X344" s="1042"/>
      <c r="Y344" s="1042"/>
      <c r="Z344" s="1042"/>
      <c r="AA344" s="1042"/>
      <c r="AB344" s="1042"/>
      <c r="AC344" s="1042"/>
      <c r="AD344" s="1042"/>
      <c r="AE344" s="1042"/>
      <c r="AF344" s="1042"/>
      <c r="AG344" s="1042"/>
      <c r="AH344" s="1042"/>
      <c r="AI344" s="1042"/>
      <c r="AJ344" s="1042"/>
      <c r="AK344" s="1042"/>
      <c r="AL344" s="1042"/>
      <c r="AM344" s="1042"/>
      <c r="AN344" s="1042"/>
      <c r="AO344" s="1042"/>
      <c r="AP344" s="1042"/>
      <c r="AQ344" s="1042"/>
    </row>
    <row r="345" spans="1:43" s="33" customFormat="1" x14ac:dyDescent="0.25">
      <c r="A345" s="1042"/>
      <c r="B345" s="1064"/>
      <c r="C345" s="1065"/>
      <c r="D345" s="1064"/>
      <c r="E345" s="1079"/>
      <c r="F345" s="1079"/>
      <c r="G345" s="1052"/>
      <c r="H345" s="1055"/>
      <c r="I345" s="1055"/>
      <c r="J345" s="1114" t="str">
        <f t="shared" si="21"/>
        <v/>
      </c>
      <c r="K345" s="1055"/>
      <c r="L345" s="1055"/>
      <c r="M345" s="1115" t="str">
        <f t="shared" si="22"/>
        <v/>
      </c>
      <c r="N345" s="1055"/>
      <c r="O345" s="1055"/>
      <c r="P345" s="1115" t="str">
        <f t="shared" si="23"/>
        <v/>
      </c>
      <c r="Q345" s="1055"/>
      <c r="R345" s="1055"/>
      <c r="S345" s="1115" t="str">
        <f t="shared" si="24"/>
        <v/>
      </c>
      <c r="T345" s="1054"/>
      <c r="U345" s="1055"/>
      <c r="V345" s="1253" t="str">
        <f t="shared" si="25"/>
        <v/>
      </c>
      <c r="W345" s="1042"/>
      <c r="X345" s="1042"/>
      <c r="Y345" s="1042"/>
      <c r="Z345" s="1042"/>
      <c r="AA345" s="1042"/>
      <c r="AB345" s="1042"/>
      <c r="AC345" s="1042"/>
      <c r="AD345" s="1042"/>
      <c r="AE345" s="1042"/>
      <c r="AF345" s="1042"/>
      <c r="AG345" s="1042"/>
      <c r="AH345" s="1042"/>
      <c r="AI345" s="1042"/>
      <c r="AJ345" s="1042"/>
      <c r="AK345" s="1042"/>
      <c r="AL345" s="1042"/>
      <c r="AM345" s="1042"/>
      <c r="AN345" s="1042"/>
      <c r="AO345" s="1042"/>
      <c r="AP345" s="1042"/>
      <c r="AQ345" s="1042"/>
    </row>
    <row r="346" spans="1:43" s="33" customFormat="1" x14ac:dyDescent="0.25">
      <c r="A346" s="1042"/>
      <c r="B346" s="1064"/>
      <c r="C346" s="1065"/>
      <c r="D346" s="1064"/>
      <c r="E346" s="1079"/>
      <c r="F346" s="1079"/>
      <c r="G346" s="1052"/>
      <c r="H346" s="1055"/>
      <c r="I346" s="1055"/>
      <c r="J346" s="1114" t="str">
        <f t="shared" ref="J346:J409" si="26">IF(AND(H346=0,I346=0),"",IF(I346&lt;&gt;0,IF(I346&gt;H346,100,I346/H346*100),0))</f>
        <v/>
      </c>
      <c r="K346" s="1055"/>
      <c r="L346" s="1055"/>
      <c r="M346" s="1115" t="str">
        <f t="shared" ref="M346:M409" si="27">IF(AND(K346=0,L346=0),"",IF(L346&lt;&gt;0,IF(L346&gt;K346,100,L346/K346*100),0))</f>
        <v/>
      </c>
      <c r="N346" s="1055"/>
      <c r="O346" s="1055"/>
      <c r="P346" s="1115" t="str">
        <f t="shared" ref="P346:P409" si="28">IF(AND(N346=0,O346=0),"",IF(O346&lt;&gt;0,IF(O346&gt;N346,100,O346/N346*100),0))</f>
        <v/>
      </c>
      <c r="Q346" s="1055"/>
      <c r="R346" s="1055"/>
      <c r="S346" s="1115" t="str">
        <f t="shared" ref="S346:S409" si="29">IF(AND(Q346=0,R346=0),"",IF(R346&lt;&gt;0,IF(R346&lt;=Q346,100,100-(R346-Q346)),0))</f>
        <v/>
      </c>
      <c r="T346" s="1054"/>
      <c r="U346" s="1055"/>
      <c r="V346" s="1253" t="str">
        <f t="shared" ref="V346:V409" si="30">IF(AND(T346=0,U346=0),"",IF(U346&lt;&gt;0,IF(U346&gt;T346,100,U346/T346*100),0))</f>
        <v/>
      </c>
      <c r="W346" s="1042"/>
      <c r="X346" s="1042"/>
      <c r="Y346" s="1042"/>
      <c r="Z346" s="1042"/>
      <c r="AA346" s="1042"/>
      <c r="AB346" s="1042"/>
      <c r="AC346" s="1042"/>
      <c r="AD346" s="1042"/>
      <c r="AE346" s="1042"/>
      <c r="AF346" s="1042"/>
      <c r="AG346" s="1042"/>
      <c r="AH346" s="1042"/>
      <c r="AI346" s="1042"/>
      <c r="AJ346" s="1042"/>
      <c r="AK346" s="1042"/>
      <c r="AL346" s="1042"/>
      <c r="AM346" s="1042"/>
      <c r="AN346" s="1042"/>
      <c r="AO346" s="1042"/>
      <c r="AP346" s="1042"/>
      <c r="AQ346" s="1042"/>
    </row>
    <row r="347" spans="1:43" s="33" customFormat="1" x14ac:dyDescent="0.25">
      <c r="A347" s="1042"/>
      <c r="B347" s="1064"/>
      <c r="C347" s="1065"/>
      <c r="D347" s="1064"/>
      <c r="E347" s="1079"/>
      <c r="F347" s="1079"/>
      <c r="G347" s="1052"/>
      <c r="H347" s="1055"/>
      <c r="I347" s="1055"/>
      <c r="J347" s="1114" t="str">
        <f t="shared" si="26"/>
        <v/>
      </c>
      <c r="K347" s="1055"/>
      <c r="L347" s="1055"/>
      <c r="M347" s="1115" t="str">
        <f t="shared" si="27"/>
        <v/>
      </c>
      <c r="N347" s="1055"/>
      <c r="O347" s="1055"/>
      <c r="P347" s="1115" t="str">
        <f t="shared" si="28"/>
        <v/>
      </c>
      <c r="Q347" s="1055"/>
      <c r="R347" s="1055"/>
      <c r="S347" s="1115" t="str">
        <f t="shared" si="29"/>
        <v/>
      </c>
      <c r="T347" s="1054"/>
      <c r="U347" s="1055"/>
      <c r="V347" s="1253" t="str">
        <f t="shared" si="30"/>
        <v/>
      </c>
      <c r="W347" s="1042"/>
      <c r="X347" s="1042"/>
      <c r="Y347" s="1042"/>
      <c r="Z347" s="1042"/>
      <c r="AA347" s="1042"/>
      <c r="AB347" s="1042"/>
      <c r="AC347" s="1042"/>
      <c r="AD347" s="1042"/>
      <c r="AE347" s="1042"/>
      <c r="AF347" s="1042"/>
      <c r="AG347" s="1042"/>
      <c r="AH347" s="1042"/>
      <c r="AI347" s="1042"/>
      <c r="AJ347" s="1042"/>
      <c r="AK347" s="1042"/>
      <c r="AL347" s="1042"/>
      <c r="AM347" s="1042"/>
      <c r="AN347" s="1042"/>
      <c r="AO347" s="1042"/>
      <c r="AP347" s="1042"/>
      <c r="AQ347" s="1042"/>
    </row>
    <row r="348" spans="1:43" s="33" customFormat="1" x14ac:dyDescent="0.25">
      <c r="A348" s="1042"/>
      <c r="B348" s="1064"/>
      <c r="C348" s="1065"/>
      <c r="D348" s="1064"/>
      <c r="E348" s="1079"/>
      <c r="F348" s="1079"/>
      <c r="G348" s="1052"/>
      <c r="H348" s="1055"/>
      <c r="I348" s="1055"/>
      <c r="J348" s="1114" t="str">
        <f t="shared" si="26"/>
        <v/>
      </c>
      <c r="K348" s="1055"/>
      <c r="L348" s="1055"/>
      <c r="M348" s="1115" t="str">
        <f t="shared" si="27"/>
        <v/>
      </c>
      <c r="N348" s="1055"/>
      <c r="O348" s="1055"/>
      <c r="P348" s="1115" t="str">
        <f t="shared" si="28"/>
        <v/>
      </c>
      <c r="Q348" s="1055"/>
      <c r="R348" s="1055"/>
      <c r="S348" s="1115" t="str">
        <f t="shared" si="29"/>
        <v/>
      </c>
      <c r="T348" s="1054"/>
      <c r="U348" s="1055"/>
      <c r="V348" s="1253" t="str">
        <f t="shared" si="30"/>
        <v/>
      </c>
      <c r="W348" s="1042"/>
      <c r="X348" s="1042"/>
      <c r="Y348" s="1042"/>
      <c r="Z348" s="1042"/>
      <c r="AA348" s="1042"/>
      <c r="AB348" s="1042"/>
      <c r="AC348" s="1042"/>
      <c r="AD348" s="1042"/>
      <c r="AE348" s="1042"/>
      <c r="AF348" s="1042"/>
      <c r="AG348" s="1042"/>
      <c r="AH348" s="1042"/>
      <c r="AI348" s="1042"/>
      <c r="AJ348" s="1042"/>
      <c r="AK348" s="1042"/>
      <c r="AL348" s="1042"/>
      <c r="AM348" s="1042"/>
      <c r="AN348" s="1042"/>
      <c r="AO348" s="1042"/>
      <c r="AP348" s="1042"/>
      <c r="AQ348" s="1042"/>
    </row>
    <row r="349" spans="1:43" s="33" customFormat="1" x14ac:dyDescent="0.25">
      <c r="A349" s="1042"/>
      <c r="B349" s="1064"/>
      <c r="C349" s="1065"/>
      <c r="D349" s="1064"/>
      <c r="E349" s="1079"/>
      <c r="F349" s="1079"/>
      <c r="G349" s="1052"/>
      <c r="H349" s="1055"/>
      <c r="I349" s="1055"/>
      <c r="J349" s="1114" t="str">
        <f t="shared" si="26"/>
        <v/>
      </c>
      <c r="K349" s="1055"/>
      <c r="L349" s="1055"/>
      <c r="M349" s="1115" t="str">
        <f t="shared" si="27"/>
        <v/>
      </c>
      <c r="N349" s="1055"/>
      <c r="O349" s="1055"/>
      <c r="P349" s="1115" t="str">
        <f t="shared" si="28"/>
        <v/>
      </c>
      <c r="Q349" s="1055"/>
      <c r="R349" s="1055"/>
      <c r="S349" s="1115" t="str">
        <f t="shared" si="29"/>
        <v/>
      </c>
      <c r="T349" s="1054"/>
      <c r="U349" s="1055"/>
      <c r="V349" s="1253" t="str">
        <f t="shared" si="30"/>
        <v/>
      </c>
      <c r="W349" s="1042"/>
      <c r="X349" s="1042"/>
      <c r="Y349" s="1042"/>
      <c r="Z349" s="1042"/>
      <c r="AA349" s="1042"/>
      <c r="AB349" s="1042"/>
      <c r="AC349" s="1042"/>
      <c r="AD349" s="1042"/>
      <c r="AE349" s="1042"/>
      <c r="AF349" s="1042"/>
      <c r="AG349" s="1042"/>
      <c r="AH349" s="1042"/>
      <c r="AI349" s="1042"/>
      <c r="AJ349" s="1042"/>
      <c r="AK349" s="1042"/>
      <c r="AL349" s="1042"/>
      <c r="AM349" s="1042"/>
      <c r="AN349" s="1042"/>
      <c r="AO349" s="1042"/>
      <c r="AP349" s="1042"/>
      <c r="AQ349" s="1042"/>
    </row>
    <row r="350" spans="1:43" s="33" customFormat="1" x14ac:dyDescent="0.25">
      <c r="A350" s="1042"/>
      <c r="B350" s="1064"/>
      <c r="C350" s="1065"/>
      <c r="D350" s="1064"/>
      <c r="E350" s="1080"/>
      <c r="F350" s="1081"/>
      <c r="G350" s="1052"/>
      <c r="H350" s="1082"/>
      <c r="I350" s="1082"/>
      <c r="J350" s="1114" t="str">
        <f t="shared" si="26"/>
        <v/>
      </c>
      <c r="K350" s="1082"/>
      <c r="L350" s="1082"/>
      <c r="M350" s="1115" t="str">
        <f t="shared" si="27"/>
        <v/>
      </c>
      <c r="N350" s="1082"/>
      <c r="O350" s="1082"/>
      <c r="P350" s="1115" t="str">
        <f t="shared" si="28"/>
        <v/>
      </c>
      <c r="Q350" s="1082"/>
      <c r="R350" s="1082"/>
      <c r="S350" s="1115" t="str">
        <f t="shared" si="29"/>
        <v/>
      </c>
      <c r="T350" s="1054"/>
      <c r="U350" s="1082"/>
      <c r="V350" s="1253" t="str">
        <f t="shared" si="30"/>
        <v/>
      </c>
      <c r="W350" s="1042"/>
      <c r="X350" s="1042"/>
      <c r="Y350" s="1042"/>
      <c r="Z350" s="1042"/>
      <c r="AA350" s="1042"/>
      <c r="AB350" s="1042"/>
      <c r="AC350" s="1042"/>
      <c r="AD350" s="1042"/>
      <c r="AE350" s="1042"/>
      <c r="AF350" s="1042"/>
      <c r="AG350" s="1042"/>
      <c r="AH350" s="1042"/>
      <c r="AI350" s="1042"/>
      <c r="AJ350" s="1042"/>
      <c r="AK350" s="1042"/>
      <c r="AL350" s="1042"/>
      <c r="AM350" s="1042"/>
      <c r="AN350" s="1042"/>
      <c r="AO350" s="1042"/>
      <c r="AP350" s="1042"/>
      <c r="AQ350" s="1042"/>
    </row>
    <row r="351" spans="1:43" s="33" customFormat="1" x14ac:dyDescent="0.25">
      <c r="A351" s="1042"/>
      <c r="B351" s="1064"/>
      <c r="C351" s="1065"/>
      <c r="D351" s="1064"/>
      <c r="E351" s="1079"/>
      <c r="F351" s="1079"/>
      <c r="G351" s="1052"/>
      <c r="H351" s="1055"/>
      <c r="I351" s="1055"/>
      <c r="J351" s="1114" t="str">
        <f t="shared" si="26"/>
        <v/>
      </c>
      <c r="K351" s="1055"/>
      <c r="L351" s="1055"/>
      <c r="M351" s="1115" t="str">
        <f t="shared" si="27"/>
        <v/>
      </c>
      <c r="N351" s="1055"/>
      <c r="O351" s="1055"/>
      <c r="P351" s="1115" t="str">
        <f t="shared" si="28"/>
        <v/>
      </c>
      <c r="Q351" s="1055"/>
      <c r="R351" s="1055"/>
      <c r="S351" s="1115" t="str">
        <f t="shared" si="29"/>
        <v/>
      </c>
      <c r="T351" s="1054"/>
      <c r="U351" s="1055"/>
      <c r="V351" s="1253" t="str">
        <f t="shared" si="30"/>
        <v/>
      </c>
      <c r="W351" s="1042"/>
      <c r="X351" s="1042"/>
      <c r="Y351" s="1042"/>
      <c r="Z351" s="1042"/>
      <c r="AA351" s="1042"/>
      <c r="AB351" s="1042"/>
      <c r="AC351" s="1042"/>
      <c r="AD351" s="1042"/>
      <c r="AE351" s="1042"/>
      <c r="AF351" s="1042"/>
      <c r="AG351" s="1042"/>
      <c r="AH351" s="1042"/>
      <c r="AI351" s="1042"/>
      <c r="AJ351" s="1042"/>
      <c r="AK351" s="1042"/>
      <c r="AL351" s="1042"/>
      <c r="AM351" s="1042"/>
      <c r="AN351" s="1042"/>
      <c r="AO351" s="1042"/>
      <c r="AP351" s="1042"/>
      <c r="AQ351" s="1042"/>
    </row>
    <row r="352" spans="1:43" s="33" customFormat="1" x14ac:dyDescent="0.25">
      <c r="A352" s="1042"/>
      <c r="B352" s="1064"/>
      <c r="C352" s="1065"/>
      <c r="D352" s="1064"/>
      <c r="E352" s="1079"/>
      <c r="F352" s="1079"/>
      <c r="G352" s="1052"/>
      <c r="H352" s="1055"/>
      <c r="I352" s="1055"/>
      <c r="J352" s="1114" t="str">
        <f t="shared" si="26"/>
        <v/>
      </c>
      <c r="K352" s="1055"/>
      <c r="L352" s="1055"/>
      <c r="M352" s="1115" t="str">
        <f t="shared" si="27"/>
        <v/>
      </c>
      <c r="N352" s="1055"/>
      <c r="O352" s="1055"/>
      <c r="P352" s="1115" t="str">
        <f t="shared" si="28"/>
        <v/>
      </c>
      <c r="Q352" s="1055"/>
      <c r="R352" s="1055"/>
      <c r="S352" s="1115" t="str">
        <f t="shared" si="29"/>
        <v/>
      </c>
      <c r="T352" s="1054"/>
      <c r="U352" s="1055"/>
      <c r="V352" s="1253" t="str">
        <f t="shared" si="30"/>
        <v/>
      </c>
      <c r="W352" s="1042"/>
      <c r="X352" s="1042"/>
      <c r="Y352" s="1042"/>
      <c r="Z352" s="1042"/>
      <c r="AA352" s="1042"/>
      <c r="AB352" s="1042"/>
      <c r="AC352" s="1042"/>
      <c r="AD352" s="1042"/>
      <c r="AE352" s="1042"/>
      <c r="AF352" s="1042"/>
      <c r="AG352" s="1042"/>
      <c r="AH352" s="1042"/>
      <c r="AI352" s="1042"/>
      <c r="AJ352" s="1042"/>
      <c r="AK352" s="1042"/>
      <c r="AL352" s="1042"/>
      <c r="AM352" s="1042"/>
      <c r="AN352" s="1042"/>
      <c r="AO352" s="1042"/>
      <c r="AP352" s="1042"/>
      <c r="AQ352" s="1042"/>
    </row>
    <row r="353" spans="1:43" s="33" customFormat="1" x14ac:dyDescent="0.25">
      <c r="A353" s="1042"/>
      <c r="B353" s="1064"/>
      <c r="C353" s="1065"/>
      <c r="D353" s="1064"/>
      <c r="E353" s="1079"/>
      <c r="F353" s="1079"/>
      <c r="G353" s="1052"/>
      <c r="H353" s="1055"/>
      <c r="I353" s="1055"/>
      <c r="J353" s="1114" t="str">
        <f t="shared" si="26"/>
        <v/>
      </c>
      <c r="K353" s="1055"/>
      <c r="L353" s="1055"/>
      <c r="M353" s="1115" t="str">
        <f t="shared" si="27"/>
        <v/>
      </c>
      <c r="N353" s="1055"/>
      <c r="O353" s="1055"/>
      <c r="P353" s="1115" t="str">
        <f t="shared" si="28"/>
        <v/>
      </c>
      <c r="Q353" s="1055"/>
      <c r="R353" s="1055"/>
      <c r="S353" s="1115" t="str">
        <f t="shared" si="29"/>
        <v/>
      </c>
      <c r="T353" s="1054"/>
      <c r="U353" s="1055"/>
      <c r="V353" s="1253" t="str">
        <f t="shared" si="30"/>
        <v/>
      </c>
      <c r="W353" s="1042"/>
      <c r="X353" s="1042"/>
      <c r="Y353" s="1042"/>
      <c r="Z353" s="1042"/>
      <c r="AA353" s="1042"/>
      <c r="AB353" s="1042"/>
      <c r="AC353" s="1042"/>
      <c r="AD353" s="1042"/>
      <c r="AE353" s="1042"/>
      <c r="AF353" s="1042"/>
      <c r="AG353" s="1042"/>
      <c r="AH353" s="1042"/>
      <c r="AI353" s="1042"/>
      <c r="AJ353" s="1042"/>
      <c r="AK353" s="1042"/>
      <c r="AL353" s="1042"/>
      <c r="AM353" s="1042"/>
      <c r="AN353" s="1042"/>
      <c r="AO353" s="1042"/>
      <c r="AP353" s="1042"/>
      <c r="AQ353" s="1042"/>
    </row>
    <row r="354" spans="1:43" s="33" customFormat="1" x14ac:dyDescent="0.25">
      <c r="A354" s="1042"/>
      <c r="B354" s="1064"/>
      <c r="C354" s="1065"/>
      <c r="D354" s="1064"/>
      <c r="E354" s="1079"/>
      <c r="F354" s="1079"/>
      <c r="G354" s="1052"/>
      <c r="H354" s="1055"/>
      <c r="I354" s="1055"/>
      <c r="J354" s="1114" t="str">
        <f t="shared" si="26"/>
        <v/>
      </c>
      <c r="K354" s="1055"/>
      <c r="L354" s="1055"/>
      <c r="M354" s="1115" t="str">
        <f t="shared" si="27"/>
        <v/>
      </c>
      <c r="N354" s="1055"/>
      <c r="O354" s="1055"/>
      <c r="P354" s="1115" t="str">
        <f t="shared" si="28"/>
        <v/>
      </c>
      <c r="Q354" s="1055"/>
      <c r="R354" s="1055"/>
      <c r="S354" s="1115" t="str">
        <f t="shared" si="29"/>
        <v/>
      </c>
      <c r="T354" s="1054"/>
      <c r="U354" s="1055"/>
      <c r="V354" s="1253" t="str">
        <f t="shared" si="30"/>
        <v/>
      </c>
      <c r="W354" s="1042"/>
      <c r="X354" s="1042"/>
      <c r="Y354" s="1042"/>
      <c r="Z354" s="1042"/>
      <c r="AA354" s="1042"/>
      <c r="AB354" s="1042"/>
      <c r="AC354" s="1042"/>
      <c r="AD354" s="1042"/>
      <c r="AE354" s="1042"/>
      <c r="AF354" s="1042"/>
      <c r="AG354" s="1042"/>
      <c r="AH354" s="1042"/>
      <c r="AI354" s="1042"/>
      <c r="AJ354" s="1042"/>
      <c r="AK354" s="1042"/>
      <c r="AL354" s="1042"/>
      <c r="AM354" s="1042"/>
      <c r="AN354" s="1042"/>
      <c r="AO354" s="1042"/>
      <c r="AP354" s="1042"/>
      <c r="AQ354" s="1042"/>
    </row>
    <row r="355" spans="1:43" s="33" customFormat="1" x14ac:dyDescent="0.25">
      <c r="A355" s="1042"/>
      <c r="B355" s="1064"/>
      <c r="C355" s="1065"/>
      <c r="D355" s="1064"/>
      <c r="E355" s="1079"/>
      <c r="F355" s="1079"/>
      <c r="G355" s="1052"/>
      <c r="H355" s="1055"/>
      <c r="I355" s="1055"/>
      <c r="J355" s="1114" t="str">
        <f t="shared" si="26"/>
        <v/>
      </c>
      <c r="K355" s="1055"/>
      <c r="L355" s="1055"/>
      <c r="M355" s="1115" t="str">
        <f t="shared" si="27"/>
        <v/>
      </c>
      <c r="N355" s="1055"/>
      <c r="O355" s="1055"/>
      <c r="P355" s="1115" t="str">
        <f t="shared" si="28"/>
        <v/>
      </c>
      <c r="Q355" s="1055"/>
      <c r="R355" s="1055"/>
      <c r="S355" s="1115" t="str">
        <f t="shared" si="29"/>
        <v/>
      </c>
      <c r="T355" s="1054"/>
      <c r="U355" s="1055"/>
      <c r="V355" s="1253" t="str">
        <f t="shared" si="30"/>
        <v/>
      </c>
      <c r="W355" s="1042"/>
      <c r="X355" s="1042"/>
      <c r="Y355" s="1042"/>
      <c r="Z355" s="1042"/>
      <c r="AA355" s="1042"/>
      <c r="AB355" s="1042"/>
      <c r="AC355" s="1042"/>
      <c r="AD355" s="1042"/>
      <c r="AE355" s="1042"/>
      <c r="AF355" s="1042"/>
      <c r="AG355" s="1042"/>
      <c r="AH355" s="1042"/>
      <c r="AI355" s="1042"/>
      <c r="AJ355" s="1042"/>
      <c r="AK355" s="1042"/>
      <c r="AL355" s="1042"/>
      <c r="AM355" s="1042"/>
      <c r="AN355" s="1042"/>
      <c r="AO355" s="1042"/>
      <c r="AP355" s="1042"/>
      <c r="AQ355" s="1042"/>
    </row>
    <row r="356" spans="1:43" s="33" customFormat="1" x14ac:dyDescent="0.25">
      <c r="A356" s="1042"/>
      <c r="B356" s="1064"/>
      <c r="C356" s="1065"/>
      <c r="D356" s="1064"/>
      <c r="E356" s="1079"/>
      <c r="F356" s="1079"/>
      <c r="G356" s="1052"/>
      <c r="H356" s="1055"/>
      <c r="I356" s="1055"/>
      <c r="J356" s="1114" t="str">
        <f t="shared" si="26"/>
        <v/>
      </c>
      <c r="K356" s="1055"/>
      <c r="L356" s="1055"/>
      <c r="M356" s="1115" t="str">
        <f t="shared" si="27"/>
        <v/>
      </c>
      <c r="N356" s="1055"/>
      <c r="O356" s="1055"/>
      <c r="P356" s="1115" t="str">
        <f t="shared" si="28"/>
        <v/>
      </c>
      <c r="Q356" s="1055"/>
      <c r="R356" s="1055"/>
      <c r="S356" s="1115" t="str">
        <f t="shared" si="29"/>
        <v/>
      </c>
      <c r="T356" s="1054"/>
      <c r="U356" s="1055"/>
      <c r="V356" s="1253" t="str">
        <f t="shared" si="30"/>
        <v/>
      </c>
      <c r="W356" s="1042"/>
      <c r="X356" s="1042"/>
      <c r="Y356" s="1042"/>
      <c r="Z356" s="1042"/>
      <c r="AA356" s="1042"/>
      <c r="AB356" s="1042"/>
      <c r="AC356" s="1042"/>
      <c r="AD356" s="1042"/>
      <c r="AE356" s="1042"/>
      <c r="AF356" s="1042"/>
      <c r="AG356" s="1042"/>
      <c r="AH356" s="1042"/>
      <c r="AI356" s="1042"/>
      <c r="AJ356" s="1042"/>
      <c r="AK356" s="1042"/>
      <c r="AL356" s="1042"/>
      <c r="AM356" s="1042"/>
      <c r="AN356" s="1042"/>
      <c r="AO356" s="1042"/>
      <c r="AP356" s="1042"/>
      <c r="AQ356" s="1042"/>
    </row>
    <row r="357" spans="1:43" s="33" customFormat="1" x14ac:dyDescent="0.25">
      <c r="A357" s="1042"/>
      <c r="B357" s="1064"/>
      <c r="C357" s="1065"/>
      <c r="D357" s="1064"/>
      <c r="E357" s="1079"/>
      <c r="F357" s="1079"/>
      <c r="G357" s="1052"/>
      <c r="H357" s="1055"/>
      <c r="I357" s="1055"/>
      <c r="J357" s="1114" t="str">
        <f t="shared" si="26"/>
        <v/>
      </c>
      <c r="K357" s="1055"/>
      <c r="L357" s="1055"/>
      <c r="M357" s="1115" t="str">
        <f t="shared" si="27"/>
        <v/>
      </c>
      <c r="N357" s="1055"/>
      <c r="O357" s="1055"/>
      <c r="P357" s="1115" t="str">
        <f t="shared" si="28"/>
        <v/>
      </c>
      <c r="Q357" s="1055"/>
      <c r="R357" s="1055"/>
      <c r="S357" s="1115" t="str">
        <f t="shared" si="29"/>
        <v/>
      </c>
      <c r="T357" s="1054"/>
      <c r="U357" s="1055"/>
      <c r="V357" s="1253" t="str">
        <f t="shared" si="30"/>
        <v/>
      </c>
      <c r="W357" s="1042"/>
      <c r="X357" s="1042"/>
      <c r="Y357" s="1042"/>
      <c r="Z357" s="1042"/>
      <c r="AA357" s="1042"/>
      <c r="AB357" s="1042"/>
      <c r="AC357" s="1042"/>
      <c r="AD357" s="1042"/>
      <c r="AE357" s="1042"/>
      <c r="AF357" s="1042"/>
      <c r="AG357" s="1042"/>
      <c r="AH357" s="1042"/>
      <c r="AI357" s="1042"/>
      <c r="AJ357" s="1042"/>
      <c r="AK357" s="1042"/>
      <c r="AL357" s="1042"/>
      <c r="AM357" s="1042"/>
      <c r="AN357" s="1042"/>
      <c r="AO357" s="1042"/>
      <c r="AP357" s="1042"/>
      <c r="AQ357" s="1042"/>
    </row>
    <row r="358" spans="1:43" s="33" customFormat="1" x14ac:dyDescent="0.25">
      <c r="A358" s="1042"/>
      <c r="B358" s="1064"/>
      <c r="C358" s="1065"/>
      <c r="D358" s="1064"/>
      <c r="E358" s="1079"/>
      <c r="F358" s="1079"/>
      <c r="G358" s="1052"/>
      <c r="H358" s="1055"/>
      <c r="I358" s="1055"/>
      <c r="J358" s="1114" t="str">
        <f t="shared" si="26"/>
        <v/>
      </c>
      <c r="K358" s="1055"/>
      <c r="L358" s="1055"/>
      <c r="M358" s="1115" t="str">
        <f t="shared" si="27"/>
        <v/>
      </c>
      <c r="N358" s="1055"/>
      <c r="O358" s="1055"/>
      <c r="P358" s="1115" t="str">
        <f t="shared" si="28"/>
        <v/>
      </c>
      <c r="Q358" s="1055"/>
      <c r="R358" s="1055"/>
      <c r="S358" s="1115" t="str">
        <f t="shared" si="29"/>
        <v/>
      </c>
      <c r="T358" s="1054"/>
      <c r="U358" s="1055"/>
      <c r="V358" s="1253" t="str">
        <f t="shared" si="30"/>
        <v/>
      </c>
      <c r="W358" s="1042"/>
      <c r="X358" s="1042"/>
      <c r="Y358" s="1042"/>
      <c r="Z358" s="1042"/>
      <c r="AA358" s="1042"/>
      <c r="AB358" s="1042"/>
      <c r="AC358" s="1042"/>
      <c r="AD358" s="1042"/>
      <c r="AE358" s="1042"/>
      <c r="AF358" s="1042"/>
      <c r="AG358" s="1042"/>
      <c r="AH358" s="1042"/>
      <c r="AI358" s="1042"/>
      <c r="AJ358" s="1042"/>
      <c r="AK358" s="1042"/>
      <c r="AL358" s="1042"/>
      <c r="AM358" s="1042"/>
      <c r="AN358" s="1042"/>
      <c r="AO358" s="1042"/>
      <c r="AP358" s="1042"/>
      <c r="AQ358" s="1042"/>
    </row>
    <row r="359" spans="1:43" s="33" customFormat="1" x14ac:dyDescent="0.25">
      <c r="A359" s="1042"/>
      <c r="B359" s="1064"/>
      <c r="C359" s="1065"/>
      <c r="D359" s="1064"/>
      <c r="E359" s="1079"/>
      <c r="F359" s="1079"/>
      <c r="G359" s="1052"/>
      <c r="H359" s="1055"/>
      <c r="I359" s="1055"/>
      <c r="J359" s="1114" t="str">
        <f t="shared" si="26"/>
        <v/>
      </c>
      <c r="K359" s="1055"/>
      <c r="L359" s="1055"/>
      <c r="M359" s="1115" t="str">
        <f t="shared" si="27"/>
        <v/>
      </c>
      <c r="N359" s="1055"/>
      <c r="O359" s="1055"/>
      <c r="P359" s="1115" t="str">
        <f t="shared" si="28"/>
        <v/>
      </c>
      <c r="Q359" s="1055"/>
      <c r="R359" s="1055"/>
      <c r="S359" s="1115" t="str">
        <f t="shared" si="29"/>
        <v/>
      </c>
      <c r="T359" s="1054"/>
      <c r="U359" s="1055"/>
      <c r="V359" s="1253" t="str">
        <f t="shared" si="30"/>
        <v/>
      </c>
      <c r="W359" s="1042"/>
      <c r="X359" s="1042"/>
      <c r="Y359" s="1042"/>
      <c r="Z359" s="1042"/>
      <c r="AA359" s="1042"/>
      <c r="AB359" s="1042"/>
      <c r="AC359" s="1042"/>
      <c r="AD359" s="1042"/>
      <c r="AE359" s="1042"/>
      <c r="AF359" s="1042"/>
      <c r="AG359" s="1042"/>
      <c r="AH359" s="1042"/>
      <c r="AI359" s="1042"/>
      <c r="AJ359" s="1042"/>
      <c r="AK359" s="1042"/>
      <c r="AL359" s="1042"/>
      <c r="AM359" s="1042"/>
      <c r="AN359" s="1042"/>
      <c r="AO359" s="1042"/>
      <c r="AP359" s="1042"/>
      <c r="AQ359" s="1042"/>
    </row>
    <row r="360" spans="1:43" s="33" customFormat="1" x14ac:dyDescent="0.25">
      <c r="A360" s="1042"/>
      <c r="B360" s="1064"/>
      <c r="C360" s="1065"/>
      <c r="D360" s="1064"/>
      <c r="E360" s="1079"/>
      <c r="F360" s="1079"/>
      <c r="G360" s="1052"/>
      <c r="H360" s="1055"/>
      <c r="I360" s="1055"/>
      <c r="J360" s="1114" t="str">
        <f t="shared" si="26"/>
        <v/>
      </c>
      <c r="K360" s="1055"/>
      <c r="L360" s="1055"/>
      <c r="M360" s="1115" t="str">
        <f t="shared" si="27"/>
        <v/>
      </c>
      <c r="N360" s="1055"/>
      <c r="O360" s="1055"/>
      <c r="P360" s="1115" t="str">
        <f t="shared" si="28"/>
        <v/>
      </c>
      <c r="Q360" s="1055"/>
      <c r="R360" s="1055"/>
      <c r="S360" s="1115" t="str">
        <f t="shared" si="29"/>
        <v/>
      </c>
      <c r="T360" s="1054"/>
      <c r="U360" s="1055"/>
      <c r="V360" s="1253" t="str">
        <f t="shared" si="30"/>
        <v/>
      </c>
      <c r="W360" s="1042"/>
      <c r="X360" s="1042"/>
      <c r="Y360" s="1042"/>
      <c r="Z360" s="1042"/>
      <c r="AA360" s="1042"/>
      <c r="AB360" s="1042"/>
      <c r="AC360" s="1042"/>
      <c r="AD360" s="1042"/>
      <c r="AE360" s="1042"/>
      <c r="AF360" s="1042"/>
      <c r="AG360" s="1042"/>
      <c r="AH360" s="1042"/>
      <c r="AI360" s="1042"/>
      <c r="AJ360" s="1042"/>
      <c r="AK360" s="1042"/>
      <c r="AL360" s="1042"/>
      <c r="AM360" s="1042"/>
      <c r="AN360" s="1042"/>
      <c r="AO360" s="1042"/>
      <c r="AP360" s="1042"/>
      <c r="AQ360" s="1042"/>
    </row>
    <row r="361" spans="1:43" s="33" customFormat="1" x14ac:dyDescent="0.25">
      <c r="A361" s="1042"/>
      <c r="B361" s="1064"/>
      <c r="C361" s="1065"/>
      <c r="D361" s="1064"/>
      <c r="E361" s="1069"/>
      <c r="F361" s="1069"/>
      <c r="G361" s="1052"/>
      <c r="H361" s="1055"/>
      <c r="I361" s="1055"/>
      <c r="J361" s="1114" t="str">
        <f t="shared" si="26"/>
        <v/>
      </c>
      <c r="K361" s="1055"/>
      <c r="L361" s="1055"/>
      <c r="M361" s="1115" t="str">
        <f t="shared" si="27"/>
        <v/>
      </c>
      <c r="N361" s="1055"/>
      <c r="O361" s="1055"/>
      <c r="P361" s="1115" t="str">
        <f t="shared" si="28"/>
        <v/>
      </c>
      <c r="Q361" s="1055"/>
      <c r="R361" s="1055"/>
      <c r="S361" s="1115" t="str">
        <f t="shared" si="29"/>
        <v/>
      </c>
      <c r="T361" s="1054"/>
      <c r="U361" s="1055"/>
      <c r="V361" s="1253" t="str">
        <f t="shared" si="30"/>
        <v/>
      </c>
      <c r="W361" s="1042"/>
      <c r="X361" s="1042"/>
      <c r="Y361" s="1042"/>
      <c r="Z361" s="1042"/>
      <c r="AA361" s="1042"/>
      <c r="AB361" s="1042"/>
      <c r="AC361" s="1042"/>
      <c r="AD361" s="1042"/>
      <c r="AE361" s="1042"/>
      <c r="AF361" s="1042"/>
      <c r="AG361" s="1042"/>
      <c r="AH361" s="1042"/>
      <c r="AI361" s="1042"/>
      <c r="AJ361" s="1042"/>
      <c r="AK361" s="1042"/>
      <c r="AL361" s="1042"/>
      <c r="AM361" s="1042"/>
      <c r="AN361" s="1042"/>
      <c r="AO361" s="1042"/>
      <c r="AP361" s="1042"/>
      <c r="AQ361" s="1042"/>
    </row>
    <row r="362" spans="1:43" s="33" customFormat="1" x14ac:dyDescent="0.25">
      <c r="A362" s="1042"/>
      <c r="B362" s="1064"/>
      <c r="C362" s="1065"/>
      <c r="D362" s="1064"/>
      <c r="E362" s="1069"/>
      <c r="F362" s="1069"/>
      <c r="G362" s="1052"/>
      <c r="H362" s="1055"/>
      <c r="I362" s="1055"/>
      <c r="J362" s="1114" t="str">
        <f t="shared" si="26"/>
        <v/>
      </c>
      <c r="K362" s="1055"/>
      <c r="L362" s="1055"/>
      <c r="M362" s="1115" t="str">
        <f t="shared" si="27"/>
        <v/>
      </c>
      <c r="N362" s="1055"/>
      <c r="O362" s="1055"/>
      <c r="P362" s="1115" t="str">
        <f t="shared" si="28"/>
        <v/>
      </c>
      <c r="Q362" s="1055"/>
      <c r="R362" s="1055"/>
      <c r="S362" s="1115" t="str">
        <f t="shared" si="29"/>
        <v/>
      </c>
      <c r="T362" s="1054"/>
      <c r="U362" s="1055"/>
      <c r="V362" s="1253" t="str">
        <f t="shared" si="30"/>
        <v/>
      </c>
      <c r="W362" s="1042"/>
      <c r="X362" s="1042"/>
      <c r="Y362" s="1042"/>
      <c r="Z362" s="1042"/>
      <c r="AA362" s="1042"/>
      <c r="AB362" s="1042"/>
      <c r="AC362" s="1042"/>
      <c r="AD362" s="1042"/>
      <c r="AE362" s="1042"/>
      <c r="AF362" s="1042"/>
      <c r="AG362" s="1042"/>
      <c r="AH362" s="1042"/>
      <c r="AI362" s="1042"/>
      <c r="AJ362" s="1042"/>
      <c r="AK362" s="1042"/>
      <c r="AL362" s="1042"/>
      <c r="AM362" s="1042"/>
      <c r="AN362" s="1042"/>
      <c r="AO362" s="1042"/>
      <c r="AP362" s="1042"/>
      <c r="AQ362" s="1042"/>
    </row>
    <row r="363" spans="1:43" s="33" customFormat="1" x14ac:dyDescent="0.25">
      <c r="A363" s="1042"/>
      <c r="B363" s="1064"/>
      <c r="C363" s="1065"/>
      <c r="D363" s="1064"/>
      <c r="E363" s="1069"/>
      <c r="F363" s="1069"/>
      <c r="G363" s="1052"/>
      <c r="H363" s="1055"/>
      <c r="I363" s="1055"/>
      <c r="J363" s="1114" t="str">
        <f t="shared" si="26"/>
        <v/>
      </c>
      <c r="K363" s="1055"/>
      <c r="L363" s="1055"/>
      <c r="M363" s="1115" t="str">
        <f t="shared" si="27"/>
        <v/>
      </c>
      <c r="N363" s="1055"/>
      <c r="O363" s="1055"/>
      <c r="P363" s="1115" t="str">
        <f t="shared" si="28"/>
        <v/>
      </c>
      <c r="Q363" s="1055"/>
      <c r="R363" s="1055"/>
      <c r="S363" s="1115" t="str">
        <f t="shared" si="29"/>
        <v/>
      </c>
      <c r="T363" s="1054"/>
      <c r="U363" s="1055"/>
      <c r="V363" s="1253" t="str">
        <f t="shared" si="30"/>
        <v/>
      </c>
      <c r="W363" s="1042"/>
      <c r="X363" s="1042"/>
      <c r="Y363" s="1042"/>
      <c r="Z363" s="1042"/>
      <c r="AA363" s="1042"/>
      <c r="AB363" s="1042"/>
      <c r="AC363" s="1042"/>
      <c r="AD363" s="1042"/>
      <c r="AE363" s="1042"/>
      <c r="AF363" s="1042"/>
      <c r="AG363" s="1042"/>
      <c r="AH363" s="1042"/>
      <c r="AI363" s="1042"/>
      <c r="AJ363" s="1042"/>
      <c r="AK363" s="1042"/>
      <c r="AL363" s="1042"/>
      <c r="AM363" s="1042"/>
      <c r="AN363" s="1042"/>
      <c r="AO363" s="1042"/>
      <c r="AP363" s="1042"/>
      <c r="AQ363" s="1042"/>
    </row>
    <row r="364" spans="1:43" s="33" customFormat="1" x14ac:dyDescent="0.25">
      <c r="A364" s="1042"/>
      <c r="B364" s="1064"/>
      <c r="C364" s="1065"/>
      <c r="D364" s="1064"/>
      <c r="E364" s="1069"/>
      <c r="F364" s="1069"/>
      <c r="G364" s="1052"/>
      <c r="H364" s="1055"/>
      <c r="I364" s="1055"/>
      <c r="J364" s="1114" t="str">
        <f t="shared" si="26"/>
        <v/>
      </c>
      <c r="K364" s="1055"/>
      <c r="L364" s="1055"/>
      <c r="M364" s="1115" t="str">
        <f t="shared" si="27"/>
        <v/>
      </c>
      <c r="N364" s="1055"/>
      <c r="O364" s="1055"/>
      <c r="P364" s="1115" t="str">
        <f t="shared" si="28"/>
        <v/>
      </c>
      <c r="Q364" s="1055"/>
      <c r="R364" s="1055"/>
      <c r="S364" s="1115" t="str">
        <f t="shared" si="29"/>
        <v/>
      </c>
      <c r="T364" s="1054"/>
      <c r="U364" s="1055"/>
      <c r="V364" s="1253" t="str">
        <f t="shared" si="30"/>
        <v/>
      </c>
      <c r="W364" s="1042"/>
      <c r="X364" s="1042"/>
      <c r="Y364" s="1042"/>
      <c r="Z364" s="1042"/>
      <c r="AA364" s="1042"/>
      <c r="AB364" s="1042"/>
      <c r="AC364" s="1042"/>
      <c r="AD364" s="1042"/>
      <c r="AE364" s="1042"/>
      <c r="AF364" s="1042"/>
      <c r="AG364" s="1042"/>
      <c r="AH364" s="1042"/>
      <c r="AI364" s="1042"/>
      <c r="AJ364" s="1042"/>
      <c r="AK364" s="1042"/>
      <c r="AL364" s="1042"/>
      <c r="AM364" s="1042"/>
      <c r="AN364" s="1042"/>
      <c r="AO364" s="1042"/>
      <c r="AP364" s="1042"/>
      <c r="AQ364" s="1042"/>
    </row>
    <row r="365" spans="1:43" s="33" customFormat="1" x14ac:dyDescent="0.25">
      <c r="A365" s="1042"/>
      <c r="B365" s="1064"/>
      <c r="C365" s="1065"/>
      <c r="D365" s="1064"/>
      <c r="E365" s="1069"/>
      <c r="F365" s="1069"/>
      <c r="G365" s="1052"/>
      <c r="H365" s="1055"/>
      <c r="I365" s="1055"/>
      <c r="J365" s="1114" t="str">
        <f t="shared" si="26"/>
        <v/>
      </c>
      <c r="K365" s="1055"/>
      <c r="L365" s="1055"/>
      <c r="M365" s="1115" t="str">
        <f t="shared" si="27"/>
        <v/>
      </c>
      <c r="N365" s="1055"/>
      <c r="O365" s="1055"/>
      <c r="P365" s="1115" t="str">
        <f t="shared" si="28"/>
        <v/>
      </c>
      <c r="Q365" s="1055"/>
      <c r="R365" s="1055"/>
      <c r="S365" s="1115" t="str">
        <f t="shared" si="29"/>
        <v/>
      </c>
      <c r="T365" s="1054"/>
      <c r="U365" s="1055"/>
      <c r="V365" s="1253" t="str">
        <f t="shared" si="30"/>
        <v/>
      </c>
      <c r="W365" s="1042"/>
      <c r="X365" s="1042"/>
      <c r="Y365" s="1042"/>
      <c r="Z365" s="1042"/>
      <c r="AA365" s="1042"/>
      <c r="AB365" s="1042"/>
      <c r="AC365" s="1042"/>
      <c r="AD365" s="1042"/>
      <c r="AE365" s="1042"/>
      <c r="AF365" s="1042"/>
      <c r="AG365" s="1042"/>
      <c r="AH365" s="1042"/>
      <c r="AI365" s="1042"/>
      <c r="AJ365" s="1042"/>
      <c r="AK365" s="1042"/>
      <c r="AL365" s="1042"/>
      <c r="AM365" s="1042"/>
      <c r="AN365" s="1042"/>
      <c r="AO365" s="1042"/>
      <c r="AP365" s="1042"/>
      <c r="AQ365" s="1042"/>
    </row>
    <row r="366" spans="1:43" s="1048" customFormat="1" x14ac:dyDescent="0.25">
      <c r="A366" s="1042"/>
      <c r="B366" s="1064"/>
      <c r="C366" s="1065"/>
      <c r="D366" s="1064"/>
      <c r="E366" s="1069"/>
      <c r="F366" s="1069"/>
      <c r="G366" s="1052"/>
      <c r="H366" s="1055"/>
      <c r="I366" s="1055"/>
      <c r="J366" s="1114" t="str">
        <f t="shared" si="26"/>
        <v/>
      </c>
      <c r="K366" s="1055"/>
      <c r="L366" s="1055"/>
      <c r="M366" s="1115" t="str">
        <f t="shared" si="27"/>
        <v/>
      </c>
      <c r="N366" s="1055"/>
      <c r="O366" s="1055"/>
      <c r="P366" s="1115" t="str">
        <f t="shared" si="28"/>
        <v/>
      </c>
      <c r="Q366" s="1055"/>
      <c r="R366" s="1055"/>
      <c r="S366" s="1115" t="str">
        <f t="shared" si="29"/>
        <v/>
      </c>
      <c r="T366" s="1054"/>
      <c r="U366" s="1055"/>
      <c r="V366" s="1253" t="str">
        <f t="shared" si="30"/>
        <v/>
      </c>
      <c r="W366" s="1042"/>
      <c r="X366" s="1042"/>
      <c r="Y366" s="1042"/>
      <c r="Z366" s="1042"/>
      <c r="AA366" s="1042"/>
      <c r="AB366" s="1042"/>
      <c r="AC366" s="1042"/>
      <c r="AD366" s="1042"/>
      <c r="AE366" s="1042"/>
      <c r="AF366" s="1042"/>
      <c r="AG366" s="1042"/>
      <c r="AH366" s="1042"/>
      <c r="AI366" s="1042"/>
      <c r="AJ366" s="1042"/>
      <c r="AK366" s="1042"/>
      <c r="AL366" s="1042"/>
      <c r="AM366" s="1042"/>
      <c r="AN366" s="1042"/>
      <c r="AO366" s="1042"/>
      <c r="AP366" s="1042"/>
      <c r="AQ366" s="1042"/>
    </row>
    <row r="367" spans="1:43" s="1048" customFormat="1" x14ac:dyDescent="0.25">
      <c r="A367" s="1042"/>
      <c r="B367" s="1064"/>
      <c r="C367" s="1065"/>
      <c r="D367" s="1064"/>
      <c r="E367" s="1069"/>
      <c r="F367" s="1069"/>
      <c r="G367" s="1052"/>
      <c r="H367" s="1055"/>
      <c r="I367" s="1055"/>
      <c r="J367" s="1114" t="str">
        <f t="shared" si="26"/>
        <v/>
      </c>
      <c r="K367" s="1055"/>
      <c r="L367" s="1055"/>
      <c r="M367" s="1115" t="str">
        <f t="shared" si="27"/>
        <v/>
      </c>
      <c r="N367" s="1055"/>
      <c r="O367" s="1055"/>
      <c r="P367" s="1115" t="str">
        <f t="shared" si="28"/>
        <v/>
      </c>
      <c r="Q367" s="1055"/>
      <c r="R367" s="1055"/>
      <c r="S367" s="1115" t="str">
        <f t="shared" si="29"/>
        <v/>
      </c>
      <c r="T367" s="1054"/>
      <c r="U367" s="1055"/>
      <c r="V367" s="1253" t="str">
        <f t="shared" si="30"/>
        <v/>
      </c>
      <c r="W367" s="1042"/>
      <c r="X367" s="1042"/>
      <c r="Y367" s="1042"/>
      <c r="Z367" s="1042"/>
      <c r="AA367" s="1042"/>
      <c r="AB367" s="1042"/>
      <c r="AC367" s="1042"/>
      <c r="AD367" s="1042"/>
      <c r="AE367" s="1042"/>
      <c r="AF367" s="1042"/>
      <c r="AG367" s="1042"/>
      <c r="AH367" s="1042"/>
      <c r="AI367" s="1042"/>
      <c r="AJ367" s="1042"/>
      <c r="AK367" s="1042"/>
      <c r="AL367" s="1042"/>
      <c r="AM367" s="1042"/>
      <c r="AN367" s="1042"/>
      <c r="AO367" s="1042"/>
      <c r="AP367" s="1042"/>
      <c r="AQ367" s="1042"/>
    </row>
    <row r="368" spans="1:43" s="1048" customFormat="1" x14ac:dyDescent="0.25">
      <c r="A368" s="1042"/>
      <c r="B368" s="1064"/>
      <c r="C368" s="1065"/>
      <c r="D368" s="1064"/>
      <c r="E368" s="1069"/>
      <c r="F368" s="1069"/>
      <c r="G368" s="1052"/>
      <c r="H368" s="1055"/>
      <c r="I368" s="1055"/>
      <c r="J368" s="1114" t="str">
        <f t="shared" si="26"/>
        <v/>
      </c>
      <c r="K368" s="1055"/>
      <c r="L368" s="1055"/>
      <c r="M368" s="1115" t="str">
        <f t="shared" si="27"/>
        <v/>
      </c>
      <c r="N368" s="1055"/>
      <c r="O368" s="1055"/>
      <c r="P368" s="1115" t="str">
        <f t="shared" si="28"/>
        <v/>
      </c>
      <c r="Q368" s="1055"/>
      <c r="R368" s="1055"/>
      <c r="S368" s="1115" t="str">
        <f t="shared" si="29"/>
        <v/>
      </c>
      <c r="T368" s="1054"/>
      <c r="U368" s="1055"/>
      <c r="V368" s="1253" t="str">
        <f t="shared" si="30"/>
        <v/>
      </c>
      <c r="W368" s="1042"/>
      <c r="X368" s="1042"/>
      <c r="Y368" s="1042"/>
      <c r="Z368" s="1042"/>
      <c r="AA368" s="1042"/>
      <c r="AB368" s="1042"/>
      <c r="AC368" s="1042"/>
      <c r="AD368" s="1042"/>
      <c r="AE368" s="1042"/>
      <c r="AF368" s="1042"/>
      <c r="AG368" s="1042"/>
      <c r="AH368" s="1042"/>
      <c r="AI368" s="1042"/>
      <c r="AJ368" s="1042"/>
      <c r="AK368" s="1042"/>
      <c r="AL368" s="1042"/>
      <c r="AM368" s="1042"/>
      <c r="AN368" s="1042"/>
      <c r="AO368" s="1042"/>
      <c r="AP368" s="1042"/>
      <c r="AQ368" s="1042"/>
    </row>
    <row r="369" spans="1:43" s="1048" customFormat="1" x14ac:dyDescent="0.25">
      <c r="A369" s="1042"/>
      <c r="B369" s="1064"/>
      <c r="C369" s="1065"/>
      <c r="D369" s="1064"/>
      <c r="E369" s="1083"/>
      <c r="F369" s="1083"/>
      <c r="G369" s="1052"/>
      <c r="H369" s="1055"/>
      <c r="I369" s="1055"/>
      <c r="J369" s="1114" t="str">
        <f t="shared" si="26"/>
        <v/>
      </c>
      <c r="K369" s="1055"/>
      <c r="L369" s="1055"/>
      <c r="M369" s="1115" t="str">
        <f t="shared" si="27"/>
        <v/>
      </c>
      <c r="N369" s="1055"/>
      <c r="O369" s="1055"/>
      <c r="P369" s="1115" t="str">
        <f t="shared" si="28"/>
        <v/>
      </c>
      <c r="Q369" s="1055"/>
      <c r="R369" s="1055"/>
      <c r="S369" s="1115" t="str">
        <f t="shared" si="29"/>
        <v/>
      </c>
      <c r="T369" s="1054"/>
      <c r="U369" s="1055"/>
      <c r="V369" s="1253" t="str">
        <f t="shared" si="30"/>
        <v/>
      </c>
      <c r="W369" s="1042"/>
      <c r="X369" s="1042"/>
      <c r="Y369" s="1042"/>
      <c r="Z369" s="1042"/>
      <c r="AA369" s="1042"/>
      <c r="AB369" s="1042"/>
      <c r="AC369" s="1042"/>
      <c r="AD369" s="1042"/>
      <c r="AE369" s="1042"/>
      <c r="AF369" s="1042"/>
      <c r="AG369" s="1042"/>
      <c r="AH369" s="1042"/>
      <c r="AI369" s="1042"/>
      <c r="AJ369" s="1042"/>
      <c r="AK369" s="1042"/>
      <c r="AL369" s="1042"/>
      <c r="AM369" s="1042"/>
      <c r="AN369" s="1042"/>
      <c r="AO369" s="1042"/>
      <c r="AP369" s="1042"/>
      <c r="AQ369" s="1042"/>
    </row>
    <row r="370" spans="1:43" s="1048" customFormat="1" x14ac:dyDescent="0.25">
      <c r="A370" s="1042"/>
      <c r="B370" s="1064"/>
      <c r="C370" s="1065"/>
      <c r="D370" s="1064"/>
      <c r="E370" s="1083"/>
      <c r="F370" s="1083"/>
      <c r="G370" s="1052"/>
      <c r="H370" s="1055"/>
      <c r="I370" s="1055"/>
      <c r="J370" s="1114" t="str">
        <f t="shared" si="26"/>
        <v/>
      </c>
      <c r="K370" s="1055"/>
      <c r="L370" s="1055"/>
      <c r="M370" s="1115" t="str">
        <f t="shared" si="27"/>
        <v/>
      </c>
      <c r="N370" s="1055"/>
      <c r="O370" s="1055"/>
      <c r="P370" s="1115" t="str">
        <f t="shared" si="28"/>
        <v/>
      </c>
      <c r="Q370" s="1055"/>
      <c r="R370" s="1055"/>
      <c r="S370" s="1115" t="str">
        <f t="shared" si="29"/>
        <v/>
      </c>
      <c r="T370" s="1054"/>
      <c r="U370" s="1055"/>
      <c r="V370" s="1253" t="str">
        <f t="shared" si="30"/>
        <v/>
      </c>
      <c r="W370" s="1042"/>
      <c r="X370" s="1042"/>
      <c r="Y370" s="1042"/>
      <c r="Z370" s="1042"/>
      <c r="AA370" s="1042"/>
      <c r="AB370" s="1042"/>
      <c r="AC370" s="1042"/>
      <c r="AD370" s="1042"/>
      <c r="AE370" s="1042"/>
      <c r="AF370" s="1042"/>
      <c r="AG370" s="1042"/>
      <c r="AH370" s="1042"/>
      <c r="AI370" s="1042"/>
      <c r="AJ370" s="1042"/>
      <c r="AK370" s="1042"/>
      <c r="AL370" s="1042"/>
      <c r="AM370" s="1042"/>
      <c r="AN370" s="1042"/>
      <c r="AO370" s="1042"/>
      <c r="AP370" s="1042"/>
      <c r="AQ370" s="1042"/>
    </row>
    <row r="371" spans="1:43" s="1048" customFormat="1" x14ac:dyDescent="0.25">
      <c r="A371" s="1042"/>
      <c r="B371" s="1064"/>
      <c r="C371" s="1065"/>
      <c r="D371" s="1064"/>
      <c r="E371" s="1084"/>
      <c r="F371" s="1084"/>
      <c r="G371" s="1052"/>
      <c r="H371" s="1055"/>
      <c r="I371" s="1055"/>
      <c r="J371" s="1114" t="str">
        <f t="shared" si="26"/>
        <v/>
      </c>
      <c r="K371" s="1055"/>
      <c r="L371" s="1055"/>
      <c r="M371" s="1115" t="str">
        <f t="shared" si="27"/>
        <v/>
      </c>
      <c r="N371" s="1055"/>
      <c r="O371" s="1055"/>
      <c r="P371" s="1115" t="str">
        <f t="shared" si="28"/>
        <v/>
      </c>
      <c r="Q371" s="1055"/>
      <c r="R371" s="1055"/>
      <c r="S371" s="1115" t="str">
        <f t="shared" si="29"/>
        <v/>
      </c>
      <c r="T371" s="1054"/>
      <c r="U371" s="1055"/>
      <c r="V371" s="1253" t="str">
        <f t="shared" si="30"/>
        <v/>
      </c>
      <c r="W371" s="1042"/>
      <c r="X371" s="1042"/>
      <c r="Y371" s="1042"/>
      <c r="Z371" s="1042"/>
      <c r="AA371" s="1042"/>
      <c r="AB371" s="1042"/>
      <c r="AC371" s="1042"/>
      <c r="AD371" s="1042"/>
      <c r="AE371" s="1042"/>
      <c r="AF371" s="1042"/>
      <c r="AG371" s="1042"/>
      <c r="AH371" s="1042"/>
      <c r="AI371" s="1042"/>
      <c r="AJ371" s="1042"/>
      <c r="AK371" s="1042"/>
      <c r="AL371" s="1042"/>
      <c r="AM371" s="1042"/>
      <c r="AN371" s="1042"/>
      <c r="AO371" s="1042"/>
      <c r="AP371" s="1042"/>
      <c r="AQ371" s="1042"/>
    </row>
    <row r="372" spans="1:43" s="1048" customFormat="1" x14ac:dyDescent="0.25">
      <c r="A372" s="1042"/>
      <c r="B372" s="1064"/>
      <c r="C372" s="1065"/>
      <c r="D372" s="1064"/>
      <c r="E372" s="1084"/>
      <c r="F372" s="1084"/>
      <c r="G372" s="1052"/>
      <c r="H372" s="1055"/>
      <c r="I372" s="1055"/>
      <c r="J372" s="1114" t="str">
        <f t="shared" si="26"/>
        <v/>
      </c>
      <c r="K372" s="1055"/>
      <c r="L372" s="1055"/>
      <c r="M372" s="1115" t="str">
        <f t="shared" si="27"/>
        <v/>
      </c>
      <c r="N372" s="1055"/>
      <c r="O372" s="1055"/>
      <c r="P372" s="1115" t="str">
        <f t="shared" si="28"/>
        <v/>
      </c>
      <c r="Q372" s="1055"/>
      <c r="R372" s="1055"/>
      <c r="S372" s="1115" t="str">
        <f t="shared" si="29"/>
        <v/>
      </c>
      <c r="T372" s="1054"/>
      <c r="U372" s="1055"/>
      <c r="V372" s="1253" t="str">
        <f t="shared" si="30"/>
        <v/>
      </c>
      <c r="W372" s="1042"/>
      <c r="X372" s="1042"/>
      <c r="Y372" s="1042"/>
      <c r="Z372" s="1042"/>
      <c r="AA372" s="1042"/>
      <c r="AB372" s="1042"/>
      <c r="AC372" s="1042"/>
      <c r="AD372" s="1042"/>
      <c r="AE372" s="1042"/>
      <c r="AF372" s="1042"/>
      <c r="AG372" s="1042"/>
      <c r="AH372" s="1042"/>
      <c r="AI372" s="1042"/>
      <c r="AJ372" s="1042"/>
      <c r="AK372" s="1042"/>
      <c r="AL372" s="1042"/>
      <c r="AM372" s="1042"/>
      <c r="AN372" s="1042"/>
      <c r="AO372" s="1042"/>
      <c r="AP372" s="1042"/>
      <c r="AQ372" s="1042"/>
    </row>
    <row r="373" spans="1:43" s="1048" customFormat="1" x14ac:dyDescent="0.25">
      <c r="A373" s="1042"/>
      <c r="B373" s="1064"/>
      <c r="C373" s="1065"/>
      <c r="D373" s="1064"/>
      <c r="E373" s="1067"/>
      <c r="F373" s="1067"/>
      <c r="G373" s="1052"/>
      <c r="H373" s="1055"/>
      <c r="I373" s="1055"/>
      <c r="J373" s="1114" t="str">
        <f t="shared" si="26"/>
        <v/>
      </c>
      <c r="K373" s="1055"/>
      <c r="L373" s="1055"/>
      <c r="M373" s="1115" t="str">
        <f t="shared" si="27"/>
        <v/>
      </c>
      <c r="N373" s="1055"/>
      <c r="O373" s="1055"/>
      <c r="P373" s="1115" t="str">
        <f t="shared" si="28"/>
        <v/>
      </c>
      <c r="Q373" s="1055"/>
      <c r="R373" s="1055"/>
      <c r="S373" s="1115" t="str">
        <f t="shared" si="29"/>
        <v/>
      </c>
      <c r="T373" s="1054"/>
      <c r="U373" s="1055"/>
      <c r="V373" s="1253" t="str">
        <f t="shared" si="30"/>
        <v/>
      </c>
      <c r="W373" s="1042"/>
      <c r="X373" s="1042"/>
      <c r="Y373" s="1042"/>
      <c r="Z373" s="1042"/>
      <c r="AA373" s="1042"/>
      <c r="AB373" s="1042"/>
      <c r="AC373" s="1042"/>
      <c r="AD373" s="1042"/>
      <c r="AE373" s="1042"/>
      <c r="AF373" s="1042"/>
      <c r="AG373" s="1042"/>
      <c r="AH373" s="1042"/>
      <c r="AI373" s="1042"/>
      <c r="AJ373" s="1042"/>
      <c r="AK373" s="1042"/>
      <c r="AL373" s="1042"/>
      <c r="AM373" s="1042"/>
      <c r="AN373" s="1042"/>
      <c r="AO373" s="1042"/>
      <c r="AP373" s="1042"/>
      <c r="AQ373" s="1042"/>
    </row>
    <row r="374" spans="1:43" s="1048" customFormat="1" x14ac:dyDescent="0.25">
      <c r="A374" s="1042"/>
      <c r="B374" s="1064"/>
      <c r="C374" s="1065"/>
      <c r="D374" s="1064"/>
      <c r="E374" s="1067"/>
      <c r="F374" s="1067"/>
      <c r="G374" s="1052"/>
      <c r="H374" s="1055"/>
      <c r="I374" s="1055"/>
      <c r="J374" s="1114" t="str">
        <f t="shared" si="26"/>
        <v/>
      </c>
      <c r="K374" s="1055"/>
      <c r="L374" s="1055"/>
      <c r="M374" s="1115" t="str">
        <f t="shared" si="27"/>
        <v/>
      </c>
      <c r="N374" s="1055"/>
      <c r="O374" s="1055"/>
      <c r="P374" s="1115" t="str">
        <f t="shared" si="28"/>
        <v/>
      </c>
      <c r="Q374" s="1055"/>
      <c r="R374" s="1055"/>
      <c r="S374" s="1115" t="str">
        <f t="shared" si="29"/>
        <v/>
      </c>
      <c r="T374" s="1054"/>
      <c r="U374" s="1055"/>
      <c r="V374" s="1253" t="str">
        <f t="shared" si="30"/>
        <v/>
      </c>
      <c r="W374" s="1042"/>
      <c r="X374" s="1042"/>
      <c r="Y374" s="1042"/>
      <c r="Z374" s="1042"/>
      <c r="AA374" s="1042"/>
      <c r="AB374" s="1042"/>
      <c r="AC374" s="1042"/>
      <c r="AD374" s="1042"/>
      <c r="AE374" s="1042"/>
      <c r="AF374" s="1042"/>
      <c r="AG374" s="1042"/>
      <c r="AH374" s="1042"/>
      <c r="AI374" s="1042"/>
      <c r="AJ374" s="1042"/>
      <c r="AK374" s="1042"/>
      <c r="AL374" s="1042"/>
      <c r="AM374" s="1042"/>
      <c r="AN374" s="1042"/>
      <c r="AO374" s="1042"/>
      <c r="AP374" s="1042"/>
      <c r="AQ374" s="1042"/>
    </row>
    <row r="375" spans="1:43" s="1048" customFormat="1" x14ac:dyDescent="0.25">
      <c r="A375" s="1042"/>
      <c r="B375" s="1064"/>
      <c r="C375" s="1065"/>
      <c r="D375" s="1064"/>
      <c r="E375" s="1067"/>
      <c r="F375" s="1067"/>
      <c r="G375" s="1052"/>
      <c r="H375" s="1055"/>
      <c r="I375" s="1055"/>
      <c r="J375" s="1114" t="str">
        <f t="shared" si="26"/>
        <v/>
      </c>
      <c r="K375" s="1055"/>
      <c r="L375" s="1055"/>
      <c r="M375" s="1115" t="str">
        <f t="shared" si="27"/>
        <v/>
      </c>
      <c r="N375" s="1055"/>
      <c r="O375" s="1055"/>
      <c r="P375" s="1115" t="str">
        <f t="shared" si="28"/>
        <v/>
      </c>
      <c r="Q375" s="1055"/>
      <c r="R375" s="1055"/>
      <c r="S375" s="1115" t="str">
        <f t="shared" si="29"/>
        <v/>
      </c>
      <c r="T375" s="1054"/>
      <c r="U375" s="1055"/>
      <c r="V375" s="1253" t="str">
        <f t="shared" si="30"/>
        <v/>
      </c>
      <c r="W375" s="1042"/>
      <c r="X375" s="1042"/>
      <c r="Y375" s="1042"/>
      <c r="Z375" s="1042"/>
      <c r="AA375" s="1042"/>
      <c r="AB375" s="1042"/>
      <c r="AC375" s="1042"/>
      <c r="AD375" s="1042"/>
      <c r="AE375" s="1042"/>
      <c r="AF375" s="1042"/>
      <c r="AG375" s="1042"/>
      <c r="AH375" s="1042"/>
      <c r="AI375" s="1042"/>
      <c r="AJ375" s="1042"/>
      <c r="AK375" s="1042"/>
      <c r="AL375" s="1042"/>
      <c r="AM375" s="1042"/>
      <c r="AN375" s="1042"/>
      <c r="AO375" s="1042"/>
      <c r="AP375" s="1042"/>
      <c r="AQ375" s="1042"/>
    </row>
    <row r="376" spans="1:43" s="1048" customFormat="1" x14ac:dyDescent="0.25">
      <c r="A376" s="1042"/>
      <c r="B376" s="1064"/>
      <c r="C376" s="1065"/>
      <c r="D376" s="1064"/>
      <c r="E376" s="1067"/>
      <c r="F376" s="1067"/>
      <c r="G376" s="1052"/>
      <c r="H376" s="1055"/>
      <c r="I376" s="1055"/>
      <c r="J376" s="1114" t="str">
        <f t="shared" si="26"/>
        <v/>
      </c>
      <c r="K376" s="1055"/>
      <c r="L376" s="1055"/>
      <c r="M376" s="1115" t="str">
        <f t="shared" si="27"/>
        <v/>
      </c>
      <c r="N376" s="1055"/>
      <c r="O376" s="1055"/>
      <c r="P376" s="1115" t="str">
        <f t="shared" si="28"/>
        <v/>
      </c>
      <c r="Q376" s="1055"/>
      <c r="R376" s="1055"/>
      <c r="S376" s="1115" t="str">
        <f t="shared" si="29"/>
        <v/>
      </c>
      <c r="T376" s="1054"/>
      <c r="U376" s="1055"/>
      <c r="V376" s="1253" t="str">
        <f t="shared" si="30"/>
        <v/>
      </c>
      <c r="W376" s="1042"/>
      <c r="X376" s="1042"/>
      <c r="Y376" s="1042"/>
      <c r="Z376" s="1042"/>
      <c r="AA376" s="1042"/>
      <c r="AB376" s="1042"/>
      <c r="AC376" s="1042"/>
      <c r="AD376" s="1042"/>
      <c r="AE376" s="1042"/>
      <c r="AF376" s="1042"/>
      <c r="AG376" s="1042"/>
      <c r="AH376" s="1042"/>
      <c r="AI376" s="1042"/>
      <c r="AJ376" s="1042"/>
      <c r="AK376" s="1042"/>
      <c r="AL376" s="1042"/>
      <c r="AM376" s="1042"/>
      <c r="AN376" s="1042"/>
      <c r="AO376" s="1042"/>
      <c r="AP376" s="1042"/>
      <c r="AQ376" s="1042"/>
    </row>
    <row r="377" spans="1:43" s="1048" customFormat="1" x14ac:dyDescent="0.25">
      <c r="A377" s="1042"/>
      <c r="B377" s="1064"/>
      <c r="C377" s="1065"/>
      <c r="D377" s="1064"/>
      <c r="E377" s="1067"/>
      <c r="F377" s="1067"/>
      <c r="G377" s="1052"/>
      <c r="H377" s="1055"/>
      <c r="I377" s="1055"/>
      <c r="J377" s="1114" t="str">
        <f t="shared" si="26"/>
        <v/>
      </c>
      <c r="K377" s="1055"/>
      <c r="L377" s="1055"/>
      <c r="M377" s="1115" t="str">
        <f t="shared" si="27"/>
        <v/>
      </c>
      <c r="N377" s="1055"/>
      <c r="O377" s="1055"/>
      <c r="P377" s="1115" t="str">
        <f t="shared" si="28"/>
        <v/>
      </c>
      <c r="Q377" s="1055"/>
      <c r="R377" s="1055"/>
      <c r="S377" s="1115" t="str">
        <f t="shared" si="29"/>
        <v/>
      </c>
      <c r="T377" s="1054"/>
      <c r="U377" s="1055"/>
      <c r="V377" s="1253" t="str">
        <f t="shared" si="30"/>
        <v/>
      </c>
      <c r="W377" s="1042"/>
      <c r="X377" s="1042"/>
      <c r="Y377" s="1042"/>
      <c r="Z377" s="1042"/>
      <c r="AA377" s="1042"/>
      <c r="AB377" s="1042"/>
      <c r="AC377" s="1042"/>
      <c r="AD377" s="1042"/>
      <c r="AE377" s="1042"/>
      <c r="AF377" s="1042"/>
      <c r="AG377" s="1042"/>
      <c r="AH377" s="1042"/>
      <c r="AI377" s="1042"/>
      <c r="AJ377" s="1042"/>
      <c r="AK377" s="1042"/>
      <c r="AL377" s="1042"/>
      <c r="AM377" s="1042"/>
      <c r="AN377" s="1042"/>
      <c r="AO377" s="1042"/>
      <c r="AP377" s="1042"/>
      <c r="AQ377" s="1042"/>
    </row>
    <row r="378" spans="1:43" s="1048" customFormat="1" x14ac:dyDescent="0.25">
      <c r="A378" s="1042"/>
      <c r="B378" s="1064"/>
      <c r="C378" s="1065"/>
      <c r="D378" s="1064"/>
      <c r="E378" s="1067"/>
      <c r="F378" s="1067"/>
      <c r="G378" s="1052"/>
      <c r="H378" s="1055"/>
      <c r="I378" s="1055"/>
      <c r="J378" s="1114" t="str">
        <f t="shared" si="26"/>
        <v/>
      </c>
      <c r="K378" s="1055"/>
      <c r="L378" s="1055"/>
      <c r="M378" s="1115" t="str">
        <f t="shared" si="27"/>
        <v/>
      </c>
      <c r="N378" s="1055"/>
      <c r="O378" s="1055"/>
      <c r="P378" s="1115" t="str">
        <f t="shared" si="28"/>
        <v/>
      </c>
      <c r="Q378" s="1055"/>
      <c r="R378" s="1055"/>
      <c r="S378" s="1115" t="str">
        <f t="shared" si="29"/>
        <v/>
      </c>
      <c r="T378" s="1054"/>
      <c r="U378" s="1055"/>
      <c r="V378" s="1253" t="str">
        <f t="shared" si="30"/>
        <v/>
      </c>
      <c r="W378" s="1042"/>
      <c r="X378" s="1042"/>
      <c r="Y378" s="1042"/>
      <c r="Z378" s="1042"/>
      <c r="AA378" s="1042"/>
      <c r="AB378" s="1042"/>
      <c r="AC378" s="1042"/>
      <c r="AD378" s="1042"/>
      <c r="AE378" s="1042"/>
      <c r="AF378" s="1042"/>
      <c r="AG378" s="1042"/>
      <c r="AH378" s="1042"/>
      <c r="AI378" s="1042"/>
      <c r="AJ378" s="1042"/>
      <c r="AK378" s="1042"/>
      <c r="AL378" s="1042"/>
      <c r="AM378" s="1042"/>
      <c r="AN378" s="1042"/>
      <c r="AO378" s="1042"/>
      <c r="AP378" s="1042"/>
      <c r="AQ378" s="1042"/>
    </row>
    <row r="379" spans="1:43" s="1048" customFormat="1" x14ac:dyDescent="0.25">
      <c r="A379" s="1042"/>
      <c r="B379" s="1064"/>
      <c r="C379" s="1065"/>
      <c r="D379" s="1064"/>
      <c r="E379" s="1085"/>
      <c r="F379" s="1085"/>
      <c r="G379" s="1052"/>
      <c r="H379" s="1055"/>
      <c r="I379" s="1055"/>
      <c r="J379" s="1114" t="str">
        <f t="shared" si="26"/>
        <v/>
      </c>
      <c r="K379" s="1055"/>
      <c r="L379" s="1055"/>
      <c r="M379" s="1115" t="str">
        <f t="shared" si="27"/>
        <v/>
      </c>
      <c r="N379" s="1055"/>
      <c r="O379" s="1055"/>
      <c r="P379" s="1115" t="str">
        <f t="shared" si="28"/>
        <v/>
      </c>
      <c r="Q379" s="1055"/>
      <c r="R379" s="1055"/>
      <c r="S379" s="1115" t="str">
        <f t="shared" si="29"/>
        <v/>
      </c>
      <c r="T379" s="1054"/>
      <c r="U379" s="1055"/>
      <c r="V379" s="1253" t="str">
        <f t="shared" si="30"/>
        <v/>
      </c>
      <c r="W379" s="1042"/>
      <c r="X379" s="1042"/>
      <c r="Y379" s="1042"/>
      <c r="Z379" s="1042"/>
      <c r="AA379" s="1042"/>
      <c r="AB379" s="1042"/>
      <c r="AC379" s="1042"/>
      <c r="AD379" s="1042"/>
      <c r="AE379" s="1042"/>
      <c r="AF379" s="1042"/>
      <c r="AG379" s="1042"/>
      <c r="AH379" s="1042"/>
      <c r="AI379" s="1042"/>
      <c r="AJ379" s="1042"/>
      <c r="AK379" s="1042"/>
      <c r="AL379" s="1042"/>
      <c r="AM379" s="1042"/>
      <c r="AN379" s="1042"/>
      <c r="AO379" s="1042"/>
      <c r="AP379" s="1042"/>
      <c r="AQ379" s="1042"/>
    </row>
    <row r="380" spans="1:43" s="1048" customFormat="1" x14ac:dyDescent="0.25">
      <c r="A380" s="1042"/>
      <c r="B380" s="1064"/>
      <c r="C380" s="1065"/>
      <c r="D380" s="1064"/>
      <c r="E380" s="1086"/>
      <c r="F380" s="1086"/>
      <c r="G380" s="1052"/>
      <c r="H380" s="1055"/>
      <c r="I380" s="1055"/>
      <c r="J380" s="1114" t="str">
        <f t="shared" si="26"/>
        <v/>
      </c>
      <c r="K380" s="1055"/>
      <c r="L380" s="1055"/>
      <c r="M380" s="1115" t="str">
        <f t="shared" si="27"/>
        <v/>
      </c>
      <c r="N380" s="1055"/>
      <c r="O380" s="1055"/>
      <c r="P380" s="1115" t="str">
        <f t="shared" si="28"/>
        <v/>
      </c>
      <c r="Q380" s="1055"/>
      <c r="R380" s="1055"/>
      <c r="S380" s="1115" t="str">
        <f t="shared" si="29"/>
        <v/>
      </c>
      <c r="T380" s="1054"/>
      <c r="U380" s="1055"/>
      <c r="V380" s="1253" t="str">
        <f t="shared" si="30"/>
        <v/>
      </c>
      <c r="W380" s="1042"/>
      <c r="X380" s="1042"/>
      <c r="Y380" s="1042"/>
      <c r="Z380" s="1042"/>
      <c r="AA380" s="1042"/>
      <c r="AB380" s="1042"/>
      <c r="AC380" s="1042"/>
      <c r="AD380" s="1042"/>
      <c r="AE380" s="1042"/>
      <c r="AF380" s="1042"/>
      <c r="AG380" s="1042"/>
      <c r="AH380" s="1042"/>
      <c r="AI380" s="1042"/>
      <c r="AJ380" s="1042"/>
      <c r="AK380" s="1042"/>
      <c r="AL380" s="1042"/>
      <c r="AM380" s="1042"/>
      <c r="AN380" s="1042"/>
      <c r="AO380" s="1042"/>
      <c r="AP380" s="1042"/>
      <c r="AQ380" s="1042"/>
    </row>
    <row r="381" spans="1:43" s="1048" customFormat="1" x14ac:dyDescent="0.25">
      <c r="A381" s="1042"/>
      <c r="B381" s="1064"/>
      <c r="C381" s="1065"/>
      <c r="D381" s="1064"/>
      <c r="E381" s="1086"/>
      <c r="F381" s="1086"/>
      <c r="G381" s="1052"/>
      <c r="H381" s="1055"/>
      <c r="I381" s="1055"/>
      <c r="J381" s="1114" t="str">
        <f t="shared" si="26"/>
        <v/>
      </c>
      <c r="K381" s="1055"/>
      <c r="L381" s="1055"/>
      <c r="M381" s="1115" t="str">
        <f t="shared" si="27"/>
        <v/>
      </c>
      <c r="N381" s="1055"/>
      <c r="O381" s="1055"/>
      <c r="P381" s="1115" t="str">
        <f t="shared" si="28"/>
        <v/>
      </c>
      <c r="Q381" s="1055"/>
      <c r="R381" s="1055"/>
      <c r="S381" s="1115" t="str">
        <f t="shared" si="29"/>
        <v/>
      </c>
      <c r="T381" s="1054"/>
      <c r="U381" s="1055"/>
      <c r="V381" s="1253" t="str">
        <f t="shared" si="30"/>
        <v/>
      </c>
      <c r="W381" s="1042"/>
      <c r="X381" s="1042"/>
      <c r="Y381" s="1042"/>
      <c r="Z381" s="1042"/>
      <c r="AA381" s="1042"/>
      <c r="AB381" s="1042"/>
      <c r="AC381" s="1042"/>
      <c r="AD381" s="1042"/>
      <c r="AE381" s="1042"/>
      <c r="AF381" s="1042"/>
      <c r="AG381" s="1042"/>
      <c r="AH381" s="1042"/>
      <c r="AI381" s="1042"/>
      <c r="AJ381" s="1042"/>
      <c r="AK381" s="1042"/>
      <c r="AL381" s="1042"/>
      <c r="AM381" s="1042"/>
      <c r="AN381" s="1042"/>
      <c r="AO381" s="1042"/>
      <c r="AP381" s="1042"/>
      <c r="AQ381" s="1042"/>
    </row>
    <row r="382" spans="1:43" s="1048" customFormat="1" x14ac:dyDescent="0.25">
      <c r="A382" s="1042"/>
      <c r="B382" s="1064"/>
      <c r="C382" s="1065"/>
      <c r="D382" s="1064"/>
      <c r="E382" s="1086"/>
      <c r="F382" s="1086"/>
      <c r="G382" s="1052"/>
      <c r="H382" s="1055"/>
      <c r="I382" s="1055"/>
      <c r="J382" s="1114" t="str">
        <f t="shared" si="26"/>
        <v/>
      </c>
      <c r="K382" s="1055"/>
      <c r="L382" s="1055"/>
      <c r="M382" s="1115" t="str">
        <f t="shared" si="27"/>
        <v/>
      </c>
      <c r="N382" s="1055"/>
      <c r="O382" s="1055"/>
      <c r="P382" s="1115" t="str">
        <f t="shared" si="28"/>
        <v/>
      </c>
      <c r="Q382" s="1055"/>
      <c r="R382" s="1055"/>
      <c r="S382" s="1115" t="str">
        <f t="shared" si="29"/>
        <v/>
      </c>
      <c r="T382" s="1054"/>
      <c r="U382" s="1055"/>
      <c r="V382" s="1253" t="str">
        <f t="shared" si="30"/>
        <v/>
      </c>
      <c r="W382" s="1042"/>
      <c r="X382" s="1042"/>
      <c r="Y382" s="1042"/>
      <c r="Z382" s="1042"/>
      <c r="AA382" s="1042"/>
      <c r="AB382" s="1042"/>
      <c r="AC382" s="1042"/>
      <c r="AD382" s="1042"/>
      <c r="AE382" s="1042"/>
      <c r="AF382" s="1042"/>
      <c r="AG382" s="1042"/>
      <c r="AH382" s="1042"/>
      <c r="AI382" s="1042"/>
      <c r="AJ382" s="1042"/>
      <c r="AK382" s="1042"/>
      <c r="AL382" s="1042"/>
      <c r="AM382" s="1042"/>
      <c r="AN382" s="1042"/>
      <c r="AO382" s="1042"/>
      <c r="AP382" s="1042"/>
      <c r="AQ382" s="1042"/>
    </row>
    <row r="383" spans="1:43" s="1048" customFormat="1" x14ac:dyDescent="0.25">
      <c r="A383" s="1042"/>
      <c r="B383" s="1064"/>
      <c r="C383" s="1065"/>
      <c r="D383" s="1064"/>
      <c r="E383" s="1086"/>
      <c r="F383" s="1086"/>
      <c r="G383" s="1052"/>
      <c r="H383" s="1055"/>
      <c r="I383" s="1055"/>
      <c r="J383" s="1114" t="str">
        <f t="shared" si="26"/>
        <v/>
      </c>
      <c r="K383" s="1055"/>
      <c r="L383" s="1055"/>
      <c r="M383" s="1115" t="str">
        <f t="shared" si="27"/>
        <v/>
      </c>
      <c r="N383" s="1055"/>
      <c r="O383" s="1055"/>
      <c r="P383" s="1115" t="str">
        <f t="shared" si="28"/>
        <v/>
      </c>
      <c r="Q383" s="1055"/>
      <c r="R383" s="1055"/>
      <c r="S383" s="1115" t="str">
        <f t="shared" si="29"/>
        <v/>
      </c>
      <c r="T383" s="1054"/>
      <c r="U383" s="1055"/>
      <c r="V383" s="1253" t="str">
        <f t="shared" si="30"/>
        <v/>
      </c>
      <c r="W383" s="1042"/>
      <c r="X383" s="1042"/>
      <c r="Y383" s="1042"/>
      <c r="Z383" s="1042"/>
      <c r="AA383" s="1042"/>
      <c r="AB383" s="1042"/>
      <c r="AC383" s="1042"/>
      <c r="AD383" s="1042"/>
      <c r="AE383" s="1042"/>
      <c r="AF383" s="1042"/>
      <c r="AG383" s="1042"/>
      <c r="AH383" s="1042"/>
      <c r="AI383" s="1042"/>
      <c r="AJ383" s="1042"/>
      <c r="AK383" s="1042"/>
      <c r="AL383" s="1042"/>
      <c r="AM383" s="1042"/>
      <c r="AN383" s="1042"/>
      <c r="AO383" s="1042"/>
      <c r="AP383" s="1042"/>
      <c r="AQ383" s="1042"/>
    </row>
    <row r="384" spans="1:43" s="1048" customFormat="1" x14ac:dyDescent="0.25">
      <c r="A384" s="1042"/>
      <c r="B384" s="1064"/>
      <c r="C384" s="1065"/>
      <c r="D384" s="1064"/>
      <c r="E384" s="1086"/>
      <c r="F384" s="1086"/>
      <c r="G384" s="1052"/>
      <c r="H384" s="1055"/>
      <c r="I384" s="1055"/>
      <c r="J384" s="1114" t="str">
        <f t="shared" si="26"/>
        <v/>
      </c>
      <c r="K384" s="1055"/>
      <c r="L384" s="1055"/>
      <c r="M384" s="1115" t="str">
        <f t="shared" si="27"/>
        <v/>
      </c>
      <c r="N384" s="1055"/>
      <c r="O384" s="1055"/>
      <c r="P384" s="1115" t="str">
        <f t="shared" si="28"/>
        <v/>
      </c>
      <c r="Q384" s="1055"/>
      <c r="R384" s="1055"/>
      <c r="S384" s="1115" t="str">
        <f t="shared" si="29"/>
        <v/>
      </c>
      <c r="T384" s="1054"/>
      <c r="U384" s="1055"/>
      <c r="V384" s="1253" t="str">
        <f t="shared" si="30"/>
        <v/>
      </c>
      <c r="W384" s="1042"/>
      <c r="X384" s="1042"/>
      <c r="Y384" s="1042"/>
      <c r="Z384" s="1042"/>
      <c r="AA384" s="1042"/>
      <c r="AB384" s="1042"/>
      <c r="AC384" s="1042"/>
      <c r="AD384" s="1042"/>
      <c r="AE384" s="1042"/>
      <c r="AF384" s="1042"/>
      <c r="AG384" s="1042"/>
      <c r="AH384" s="1042"/>
      <c r="AI384" s="1042"/>
      <c r="AJ384" s="1042"/>
      <c r="AK384" s="1042"/>
      <c r="AL384" s="1042"/>
      <c r="AM384" s="1042"/>
      <c r="AN384" s="1042"/>
      <c r="AO384" s="1042"/>
      <c r="AP384" s="1042"/>
      <c r="AQ384" s="1042"/>
    </row>
    <row r="385" spans="2:23" x14ac:dyDescent="0.25">
      <c r="B385" s="1064"/>
      <c r="C385" s="1065"/>
      <c r="D385" s="1064"/>
      <c r="E385" s="1086"/>
      <c r="F385" s="1086"/>
      <c r="G385" s="1052"/>
      <c r="H385" s="1055"/>
      <c r="I385" s="1055"/>
      <c r="J385" s="1114" t="str">
        <f t="shared" si="26"/>
        <v/>
      </c>
      <c r="K385" s="1055"/>
      <c r="L385" s="1055"/>
      <c r="M385" s="1115" t="str">
        <f t="shared" si="27"/>
        <v/>
      </c>
      <c r="N385" s="1055"/>
      <c r="O385" s="1055"/>
      <c r="P385" s="1115" t="str">
        <f t="shared" si="28"/>
        <v/>
      </c>
      <c r="Q385" s="1055"/>
      <c r="R385" s="1055"/>
      <c r="S385" s="1115" t="str">
        <f t="shared" si="29"/>
        <v/>
      </c>
      <c r="T385" s="1054"/>
      <c r="U385" s="1055"/>
      <c r="V385" s="1253" t="str">
        <f t="shared" si="30"/>
        <v/>
      </c>
      <c r="W385" s="1042"/>
    </row>
    <row r="386" spans="2:23" x14ac:dyDescent="0.25">
      <c r="B386" s="1064"/>
      <c r="C386" s="1065"/>
      <c r="D386" s="1064"/>
      <c r="E386" s="1086"/>
      <c r="F386" s="1086"/>
      <c r="G386" s="1052"/>
      <c r="H386" s="1055"/>
      <c r="I386" s="1055"/>
      <c r="J386" s="1114" t="str">
        <f t="shared" si="26"/>
        <v/>
      </c>
      <c r="K386" s="1055"/>
      <c r="L386" s="1055"/>
      <c r="M386" s="1115" t="str">
        <f t="shared" si="27"/>
        <v/>
      </c>
      <c r="N386" s="1055"/>
      <c r="O386" s="1055"/>
      <c r="P386" s="1115" t="str">
        <f t="shared" si="28"/>
        <v/>
      </c>
      <c r="Q386" s="1055"/>
      <c r="R386" s="1055"/>
      <c r="S386" s="1115" t="str">
        <f t="shared" si="29"/>
        <v/>
      </c>
      <c r="T386" s="1054"/>
      <c r="U386" s="1055"/>
      <c r="V386" s="1253" t="str">
        <f t="shared" si="30"/>
        <v/>
      </c>
      <c r="W386" s="1042"/>
    </row>
    <row r="387" spans="2:23" x14ac:dyDescent="0.25">
      <c r="B387" s="1064"/>
      <c r="C387" s="1065"/>
      <c r="D387" s="1064"/>
      <c r="E387" s="1086"/>
      <c r="F387" s="1086"/>
      <c r="G387" s="1052"/>
      <c r="H387" s="1055"/>
      <c r="I387" s="1055"/>
      <c r="J387" s="1114" t="str">
        <f t="shared" si="26"/>
        <v/>
      </c>
      <c r="K387" s="1055"/>
      <c r="L387" s="1055"/>
      <c r="M387" s="1115" t="str">
        <f t="shared" si="27"/>
        <v/>
      </c>
      <c r="N387" s="1055"/>
      <c r="O387" s="1055"/>
      <c r="P387" s="1115" t="str">
        <f t="shared" si="28"/>
        <v/>
      </c>
      <c r="Q387" s="1055"/>
      <c r="R387" s="1055"/>
      <c r="S387" s="1115" t="str">
        <f t="shared" si="29"/>
        <v/>
      </c>
      <c r="T387" s="1054"/>
      <c r="U387" s="1055"/>
      <c r="V387" s="1253" t="str">
        <f t="shared" si="30"/>
        <v/>
      </c>
      <c r="W387" s="1042"/>
    </row>
    <row r="388" spans="2:23" x14ac:dyDescent="0.25">
      <c r="B388" s="1064"/>
      <c r="C388" s="1065"/>
      <c r="D388" s="1064"/>
      <c r="E388" s="1086"/>
      <c r="F388" s="1086"/>
      <c r="G388" s="1052"/>
      <c r="H388" s="1055"/>
      <c r="I388" s="1055"/>
      <c r="J388" s="1114" t="str">
        <f t="shared" si="26"/>
        <v/>
      </c>
      <c r="K388" s="1055"/>
      <c r="L388" s="1055"/>
      <c r="M388" s="1115" t="str">
        <f t="shared" si="27"/>
        <v/>
      </c>
      <c r="N388" s="1055"/>
      <c r="O388" s="1055"/>
      <c r="P388" s="1115" t="str">
        <f t="shared" si="28"/>
        <v/>
      </c>
      <c r="Q388" s="1055"/>
      <c r="R388" s="1055"/>
      <c r="S388" s="1115" t="str">
        <f t="shared" si="29"/>
        <v/>
      </c>
      <c r="T388" s="1054"/>
      <c r="U388" s="1055"/>
      <c r="V388" s="1253" t="str">
        <f t="shared" si="30"/>
        <v/>
      </c>
      <c r="W388" s="1042"/>
    </row>
    <row r="389" spans="2:23" x14ac:dyDescent="0.25">
      <c r="B389" s="1064"/>
      <c r="C389" s="1065"/>
      <c r="D389" s="1064"/>
      <c r="E389" s="1087"/>
      <c r="F389" s="1087"/>
      <c r="G389" s="1052"/>
      <c r="H389" s="1055"/>
      <c r="I389" s="1055"/>
      <c r="J389" s="1114" t="str">
        <f t="shared" si="26"/>
        <v/>
      </c>
      <c r="K389" s="1055"/>
      <c r="L389" s="1055"/>
      <c r="M389" s="1115" t="str">
        <f t="shared" si="27"/>
        <v/>
      </c>
      <c r="N389" s="1055"/>
      <c r="O389" s="1055"/>
      <c r="P389" s="1115" t="str">
        <f t="shared" si="28"/>
        <v/>
      </c>
      <c r="Q389" s="1055"/>
      <c r="R389" s="1055"/>
      <c r="S389" s="1115" t="str">
        <f t="shared" si="29"/>
        <v/>
      </c>
      <c r="T389" s="1054"/>
      <c r="U389" s="1055"/>
      <c r="V389" s="1253" t="str">
        <f t="shared" si="30"/>
        <v/>
      </c>
      <c r="W389" s="1042"/>
    </row>
    <row r="390" spans="2:23" x14ac:dyDescent="0.25">
      <c r="B390" s="1064"/>
      <c r="C390" s="1065"/>
      <c r="D390" s="1064"/>
      <c r="E390" s="1088"/>
      <c r="F390" s="1088"/>
      <c r="G390" s="1052"/>
      <c r="H390" s="1055"/>
      <c r="I390" s="1055"/>
      <c r="J390" s="1114" t="str">
        <f t="shared" si="26"/>
        <v/>
      </c>
      <c r="K390" s="1055"/>
      <c r="L390" s="1055"/>
      <c r="M390" s="1115" t="str">
        <f t="shared" si="27"/>
        <v/>
      </c>
      <c r="N390" s="1055"/>
      <c r="O390" s="1055"/>
      <c r="P390" s="1115" t="str">
        <f t="shared" si="28"/>
        <v/>
      </c>
      <c r="Q390" s="1055"/>
      <c r="R390" s="1055"/>
      <c r="S390" s="1115" t="str">
        <f t="shared" si="29"/>
        <v/>
      </c>
      <c r="T390" s="1054"/>
      <c r="U390" s="1055"/>
      <c r="V390" s="1253" t="str">
        <f t="shared" si="30"/>
        <v/>
      </c>
      <c r="W390" s="1042"/>
    </row>
    <row r="391" spans="2:23" x14ac:dyDescent="0.25">
      <c r="B391" s="1064"/>
      <c r="C391" s="1065"/>
      <c r="D391" s="1064"/>
      <c r="E391" s="1088"/>
      <c r="F391" s="1088"/>
      <c r="G391" s="1052"/>
      <c r="H391" s="1055"/>
      <c r="I391" s="1055"/>
      <c r="J391" s="1114" t="str">
        <f t="shared" si="26"/>
        <v/>
      </c>
      <c r="K391" s="1055"/>
      <c r="L391" s="1055"/>
      <c r="M391" s="1115" t="str">
        <f t="shared" si="27"/>
        <v/>
      </c>
      <c r="N391" s="1055"/>
      <c r="O391" s="1055"/>
      <c r="P391" s="1115" t="str">
        <f t="shared" si="28"/>
        <v/>
      </c>
      <c r="Q391" s="1055"/>
      <c r="R391" s="1055"/>
      <c r="S391" s="1115" t="str">
        <f t="shared" si="29"/>
        <v/>
      </c>
      <c r="T391" s="1054"/>
      <c r="U391" s="1055"/>
      <c r="V391" s="1253" t="str">
        <f t="shared" si="30"/>
        <v/>
      </c>
      <c r="W391" s="1042"/>
    </row>
    <row r="392" spans="2:23" x14ac:dyDescent="0.25">
      <c r="B392" s="1064"/>
      <c r="C392" s="1065"/>
      <c r="D392" s="1064"/>
      <c r="E392" s="1071"/>
      <c r="F392" s="1071"/>
      <c r="G392" s="1052"/>
      <c r="H392" s="1055"/>
      <c r="I392" s="1055"/>
      <c r="J392" s="1114" t="str">
        <f t="shared" si="26"/>
        <v/>
      </c>
      <c r="K392" s="1055"/>
      <c r="L392" s="1055"/>
      <c r="M392" s="1115" t="str">
        <f t="shared" si="27"/>
        <v/>
      </c>
      <c r="N392" s="1055"/>
      <c r="O392" s="1055"/>
      <c r="P392" s="1115" t="str">
        <f t="shared" si="28"/>
        <v/>
      </c>
      <c r="Q392" s="1055"/>
      <c r="R392" s="1055"/>
      <c r="S392" s="1115" t="str">
        <f t="shared" si="29"/>
        <v/>
      </c>
      <c r="T392" s="1054"/>
      <c r="U392" s="1055"/>
      <c r="V392" s="1253" t="str">
        <f t="shared" si="30"/>
        <v/>
      </c>
      <c r="W392" s="1042"/>
    </row>
    <row r="393" spans="2:23" x14ac:dyDescent="0.25">
      <c r="B393" s="1064"/>
      <c r="C393" s="1065"/>
      <c r="D393" s="1064"/>
      <c r="E393" s="1071"/>
      <c r="F393" s="1071"/>
      <c r="G393" s="1052"/>
      <c r="H393" s="1055"/>
      <c r="I393" s="1055"/>
      <c r="J393" s="1114" t="str">
        <f t="shared" si="26"/>
        <v/>
      </c>
      <c r="K393" s="1055"/>
      <c r="L393" s="1055"/>
      <c r="M393" s="1115" t="str">
        <f t="shared" si="27"/>
        <v/>
      </c>
      <c r="N393" s="1055"/>
      <c r="O393" s="1055"/>
      <c r="P393" s="1115" t="str">
        <f t="shared" si="28"/>
        <v/>
      </c>
      <c r="Q393" s="1055"/>
      <c r="R393" s="1055"/>
      <c r="S393" s="1115" t="str">
        <f t="shared" si="29"/>
        <v/>
      </c>
      <c r="T393" s="1054"/>
      <c r="U393" s="1055"/>
      <c r="V393" s="1253" t="str">
        <f t="shared" si="30"/>
        <v/>
      </c>
      <c r="W393" s="1042"/>
    </row>
    <row r="394" spans="2:23" x14ac:dyDescent="0.25">
      <c r="B394" s="1064"/>
      <c r="C394" s="1065"/>
      <c r="D394" s="1064"/>
      <c r="E394" s="1089"/>
      <c r="F394" s="1089"/>
      <c r="G394" s="1052"/>
      <c r="H394" s="1055"/>
      <c r="I394" s="1055"/>
      <c r="J394" s="1114" t="str">
        <f t="shared" si="26"/>
        <v/>
      </c>
      <c r="K394" s="1055"/>
      <c r="L394" s="1055"/>
      <c r="M394" s="1115" t="str">
        <f t="shared" si="27"/>
        <v/>
      </c>
      <c r="N394" s="1055"/>
      <c r="O394" s="1055"/>
      <c r="P394" s="1115" t="str">
        <f t="shared" si="28"/>
        <v/>
      </c>
      <c r="Q394" s="1055"/>
      <c r="R394" s="1055"/>
      <c r="S394" s="1115" t="str">
        <f t="shared" si="29"/>
        <v/>
      </c>
      <c r="T394" s="1054"/>
      <c r="U394" s="1055"/>
      <c r="V394" s="1253" t="str">
        <f t="shared" si="30"/>
        <v/>
      </c>
      <c r="W394" s="1042"/>
    </row>
    <row r="395" spans="2:23" x14ac:dyDescent="0.25">
      <c r="B395" s="1064"/>
      <c r="C395" s="1065"/>
      <c r="D395" s="1064"/>
      <c r="E395" s="1089"/>
      <c r="F395" s="1089"/>
      <c r="G395" s="1052"/>
      <c r="H395" s="1055"/>
      <c r="I395" s="1055"/>
      <c r="J395" s="1114" t="str">
        <f t="shared" si="26"/>
        <v/>
      </c>
      <c r="K395" s="1055"/>
      <c r="L395" s="1055"/>
      <c r="M395" s="1115" t="str">
        <f t="shared" si="27"/>
        <v/>
      </c>
      <c r="N395" s="1055"/>
      <c r="O395" s="1055"/>
      <c r="P395" s="1115" t="str">
        <f t="shared" si="28"/>
        <v/>
      </c>
      <c r="Q395" s="1055"/>
      <c r="R395" s="1055"/>
      <c r="S395" s="1115" t="str">
        <f t="shared" si="29"/>
        <v/>
      </c>
      <c r="T395" s="1054"/>
      <c r="U395" s="1055"/>
      <c r="V395" s="1253" t="str">
        <f t="shared" si="30"/>
        <v/>
      </c>
      <c r="W395" s="1042"/>
    </row>
    <row r="396" spans="2:23" x14ac:dyDescent="0.25">
      <c r="B396" s="1064"/>
      <c r="C396" s="1065"/>
      <c r="D396" s="1064"/>
      <c r="E396" s="1089"/>
      <c r="F396" s="1089"/>
      <c r="G396" s="1052"/>
      <c r="H396" s="1055"/>
      <c r="I396" s="1055"/>
      <c r="J396" s="1114" t="str">
        <f t="shared" si="26"/>
        <v/>
      </c>
      <c r="K396" s="1055"/>
      <c r="L396" s="1055"/>
      <c r="M396" s="1115" t="str">
        <f t="shared" si="27"/>
        <v/>
      </c>
      <c r="N396" s="1055"/>
      <c r="O396" s="1055"/>
      <c r="P396" s="1115" t="str">
        <f t="shared" si="28"/>
        <v/>
      </c>
      <c r="Q396" s="1055"/>
      <c r="R396" s="1055"/>
      <c r="S396" s="1115" t="str">
        <f t="shared" si="29"/>
        <v/>
      </c>
      <c r="T396" s="1054"/>
      <c r="U396" s="1055"/>
      <c r="V396" s="1253" t="str">
        <f t="shared" si="30"/>
        <v/>
      </c>
      <c r="W396" s="1042"/>
    </row>
    <row r="397" spans="2:23" x14ac:dyDescent="0.25">
      <c r="B397" s="1064"/>
      <c r="C397" s="1065"/>
      <c r="D397" s="1064"/>
      <c r="E397" s="1089"/>
      <c r="F397" s="1089"/>
      <c r="G397" s="1052"/>
      <c r="H397" s="1055"/>
      <c r="I397" s="1055"/>
      <c r="J397" s="1114" t="str">
        <f t="shared" si="26"/>
        <v/>
      </c>
      <c r="K397" s="1055"/>
      <c r="L397" s="1055"/>
      <c r="M397" s="1115" t="str">
        <f t="shared" si="27"/>
        <v/>
      </c>
      <c r="N397" s="1055"/>
      <c r="O397" s="1055"/>
      <c r="P397" s="1115" t="str">
        <f t="shared" si="28"/>
        <v/>
      </c>
      <c r="Q397" s="1055"/>
      <c r="R397" s="1055"/>
      <c r="S397" s="1115" t="str">
        <f t="shared" si="29"/>
        <v/>
      </c>
      <c r="T397" s="1054"/>
      <c r="U397" s="1055"/>
      <c r="V397" s="1253" t="str">
        <f t="shared" si="30"/>
        <v/>
      </c>
      <c r="W397" s="1042"/>
    </row>
    <row r="398" spans="2:23" x14ac:dyDescent="0.25">
      <c r="B398" s="1064"/>
      <c r="C398" s="1065"/>
      <c r="D398" s="1064"/>
      <c r="E398" s="1089"/>
      <c r="F398" s="1089"/>
      <c r="G398" s="1052"/>
      <c r="H398" s="1055"/>
      <c r="I398" s="1055"/>
      <c r="J398" s="1114" t="str">
        <f t="shared" si="26"/>
        <v/>
      </c>
      <c r="K398" s="1055"/>
      <c r="L398" s="1055"/>
      <c r="M398" s="1115" t="str">
        <f t="shared" si="27"/>
        <v/>
      </c>
      <c r="N398" s="1055"/>
      <c r="O398" s="1055"/>
      <c r="P398" s="1115" t="str">
        <f t="shared" si="28"/>
        <v/>
      </c>
      <c r="Q398" s="1055"/>
      <c r="R398" s="1055"/>
      <c r="S398" s="1115" t="str">
        <f t="shared" si="29"/>
        <v/>
      </c>
      <c r="T398" s="1054"/>
      <c r="U398" s="1055"/>
      <c r="V398" s="1253" t="str">
        <f t="shared" si="30"/>
        <v/>
      </c>
      <c r="W398" s="1042"/>
    </row>
    <row r="399" spans="2:23" x14ac:dyDescent="0.25">
      <c r="B399" s="1064"/>
      <c r="C399" s="1065"/>
      <c r="D399" s="1064"/>
      <c r="E399" s="1090"/>
      <c r="F399" s="1090"/>
      <c r="G399" s="1052"/>
      <c r="H399" s="1055"/>
      <c r="I399" s="1055"/>
      <c r="J399" s="1114" t="str">
        <f t="shared" si="26"/>
        <v/>
      </c>
      <c r="K399" s="1055"/>
      <c r="L399" s="1055"/>
      <c r="M399" s="1115" t="str">
        <f t="shared" si="27"/>
        <v/>
      </c>
      <c r="N399" s="1055"/>
      <c r="O399" s="1055"/>
      <c r="P399" s="1115" t="str">
        <f t="shared" si="28"/>
        <v/>
      </c>
      <c r="Q399" s="1055"/>
      <c r="R399" s="1055"/>
      <c r="S399" s="1115" t="str">
        <f t="shared" si="29"/>
        <v/>
      </c>
      <c r="T399" s="1054"/>
      <c r="U399" s="1055"/>
      <c r="V399" s="1253" t="str">
        <f t="shared" si="30"/>
        <v/>
      </c>
      <c r="W399" s="1042"/>
    </row>
    <row r="400" spans="2:23" x14ac:dyDescent="0.25">
      <c r="B400" s="1064"/>
      <c r="C400" s="1065"/>
      <c r="D400" s="1064"/>
      <c r="E400" s="1073"/>
      <c r="F400" s="1073"/>
      <c r="G400" s="1052"/>
      <c r="H400" s="1055"/>
      <c r="I400" s="1055"/>
      <c r="J400" s="1114" t="str">
        <f t="shared" si="26"/>
        <v/>
      </c>
      <c r="K400" s="1055"/>
      <c r="L400" s="1055"/>
      <c r="M400" s="1115" t="str">
        <f t="shared" si="27"/>
        <v/>
      </c>
      <c r="N400" s="1055"/>
      <c r="O400" s="1055"/>
      <c r="P400" s="1115" t="str">
        <f t="shared" si="28"/>
        <v/>
      </c>
      <c r="Q400" s="1055"/>
      <c r="R400" s="1055"/>
      <c r="S400" s="1115" t="str">
        <f t="shared" si="29"/>
        <v/>
      </c>
      <c r="T400" s="1054"/>
      <c r="U400" s="1055"/>
      <c r="V400" s="1253" t="str">
        <f t="shared" si="30"/>
        <v/>
      </c>
      <c r="W400" s="1042"/>
    </row>
    <row r="401" spans="2:23" x14ac:dyDescent="0.25">
      <c r="B401" s="1064"/>
      <c r="C401" s="1065"/>
      <c r="D401" s="1064"/>
      <c r="E401" s="1073"/>
      <c r="F401" s="1073"/>
      <c r="G401" s="1052"/>
      <c r="H401" s="1055"/>
      <c r="I401" s="1055"/>
      <c r="J401" s="1114" t="str">
        <f t="shared" si="26"/>
        <v/>
      </c>
      <c r="K401" s="1055"/>
      <c r="L401" s="1055"/>
      <c r="M401" s="1115" t="str">
        <f t="shared" si="27"/>
        <v/>
      </c>
      <c r="N401" s="1055"/>
      <c r="O401" s="1055"/>
      <c r="P401" s="1115" t="str">
        <f t="shared" si="28"/>
        <v/>
      </c>
      <c r="Q401" s="1055"/>
      <c r="R401" s="1055"/>
      <c r="S401" s="1115" t="str">
        <f t="shared" si="29"/>
        <v/>
      </c>
      <c r="T401" s="1054"/>
      <c r="U401" s="1055"/>
      <c r="V401" s="1253" t="str">
        <f t="shared" si="30"/>
        <v/>
      </c>
      <c r="W401" s="1042"/>
    </row>
    <row r="402" spans="2:23" x14ac:dyDescent="0.25">
      <c r="B402" s="1064"/>
      <c r="C402" s="1065"/>
      <c r="D402" s="1064"/>
      <c r="E402" s="1073"/>
      <c r="F402" s="1073"/>
      <c r="G402" s="1052"/>
      <c r="H402" s="1055"/>
      <c r="I402" s="1055"/>
      <c r="J402" s="1114" t="str">
        <f t="shared" si="26"/>
        <v/>
      </c>
      <c r="K402" s="1055"/>
      <c r="L402" s="1055"/>
      <c r="M402" s="1115" t="str">
        <f t="shared" si="27"/>
        <v/>
      </c>
      <c r="N402" s="1055"/>
      <c r="O402" s="1055"/>
      <c r="P402" s="1115" t="str">
        <f t="shared" si="28"/>
        <v/>
      </c>
      <c r="Q402" s="1055"/>
      <c r="R402" s="1055"/>
      <c r="S402" s="1115" t="str">
        <f t="shared" si="29"/>
        <v/>
      </c>
      <c r="T402" s="1054"/>
      <c r="U402" s="1055"/>
      <c r="V402" s="1253" t="str">
        <f t="shared" si="30"/>
        <v/>
      </c>
      <c r="W402" s="1042"/>
    </row>
    <row r="403" spans="2:23" x14ac:dyDescent="0.25">
      <c r="B403" s="1064"/>
      <c r="C403" s="1065"/>
      <c r="D403" s="1064"/>
      <c r="E403" s="1073"/>
      <c r="F403" s="1073"/>
      <c r="G403" s="1052"/>
      <c r="H403" s="1055"/>
      <c r="I403" s="1055"/>
      <c r="J403" s="1114" t="str">
        <f t="shared" si="26"/>
        <v/>
      </c>
      <c r="K403" s="1055"/>
      <c r="L403" s="1055"/>
      <c r="M403" s="1115" t="str">
        <f t="shared" si="27"/>
        <v/>
      </c>
      <c r="N403" s="1055"/>
      <c r="O403" s="1055"/>
      <c r="P403" s="1115" t="str">
        <f t="shared" si="28"/>
        <v/>
      </c>
      <c r="Q403" s="1055"/>
      <c r="R403" s="1055"/>
      <c r="S403" s="1115" t="str">
        <f t="shared" si="29"/>
        <v/>
      </c>
      <c r="T403" s="1054"/>
      <c r="U403" s="1055"/>
      <c r="V403" s="1253" t="str">
        <f t="shared" si="30"/>
        <v/>
      </c>
      <c r="W403" s="1042"/>
    </row>
    <row r="404" spans="2:23" x14ac:dyDescent="0.25">
      <c r="B404" s="1064"/>
      <c r="C404" s="1065"/>
      <c r="D404" s="1064"/>
      <c r="E404" s="1073"/>
      <c r="F404" s="1073"/>
      <c r="G404" s="1052"/>
      <c r="H404" s="1055"/>
      <c r="I404" s="1055"/>
      <c r="J404" s="1114" t="str">
        <f t="shared" si="26"/>
        <v/>
      </c>
      <c r="K404" s="1055"/>
      <c r="L404" s="1055"/>
      <c r="M404" s="1115" t="str">
        <f t="shared" si="27"/>
        <v/>
      </c>
      <c r="N404" s="1055"/>
      <c r="O404" s="1055"/>
      <c r="P404" s="1115" t="str">
        <f t="shared" si="28"/>
        <v/>
      </c>
      <c r="Q404" s="1055"/>
      <c r="R404" s="1055"/>
      <c r="S404" s="1115" t="str">
        <f t="shared" si="29"/>
        <v/>
      </c>
      <c r="T404" s="1054"/>
      <c r="U404" s="1055"/>
      <c r="V404" s="1253" t="str">
        <f t="shared" si="30"/>
        <v/>
      </c>
      <c r="W404" s="1042"/>
    </row>
    <row r="405" spans="2:23" x14ac:dyDescent="0.25">
      <c r="B405" s="1064"/>
      <c r="C405" s="1065"/>
      <c r="D405" s="1064"/>
      <c r="E405" s="1073"/>
      <c r="F405" s="1073"/>
      <c r="G405" s="1052"/>
      <c r="H405" s="1055"/>
      <c r="I405" s="1055"/>
      <c r="J405" s="1114" t="str">
        <f t="shared" si="26"/>
        <v/>
      </c>
      <c r="K405" s="1055"/>
      <c r="L405" s="1055"/>
      <c r="M405" s="1115" t="str">
        <f t="shared" si="27"/>
        <v/>
      </c>
      <c r="N405" s="1055"/>
      <c r="O405" s="1055"/>
      <c r="P405" s="1115" t="str">
        <f t="shared" si="28"/>
        <v/>
      </c>
      <c r="Q405" s="1055"/>
      <c r="R405" s="1055"/>
      <c r="S405" s="1115" t="str">
        <f t="shared" si="29"/>
        <v/>
      </c>
      <c r="T405" s="1054"/>
      <c r="U405" s="1055"/>
      <c r="V405" s="1253" t="str">
        <f t="shared" si="30"/>
        <v/>
      </c>
      <c r="W405" s="1042"/>
    </row>
    <row r="406" spans="2:23" x14ac:dyDescent="0.25">
      <c r="B406" s="1064"/>
      <c r="C406" s="1065"/>
      <c r="D406" s="1064"/>
      <c r="E406" s="1073"/>
      <c r="F406" s="1073"/>
      <c r="G406" s="1052"/>
      <c r="H406" s="1055"/>
      <c r="I406" s="1055"/>
      <c r="J406" s="1114" t="str">
        <f t="shared" si="26"/>
        <v/>
      </c>
      <c r="K406" s="1055"/>
      <c r="L406" s="1055"/>
      <c r="M406" s="1115" t="str">
        <f t="shared" si="27"/>
        <v/>
      </c>
      <c r="N406" s="1055"/>
      <c r="O406" s="1055"/>
      <c r="P406" s="1115" t="str">
        <f t="shared" si="28"/>
        <v/>
      </c>
      <c r="Q406" s="1055"/>
      <c r="R406" s="1055"/>
      <c r="S406" s="1115" t="str">
        <f t="shared" si="29"/>
        <v/>
      </c>
      <c r="T406" s="1054"/>
      <c r="U406" s="1055"/>
      <c r="V406" s="1253" t="str">
        <f t="shared" si="30"/>
        <v/>
      </c>
      <c r="W406" s="1042"/>
    </row>
    <row r="407" spans="2:23" x14ac:dyDescent="0.25">
      <c r="B407" s="1064"/>
      <c r="C407" s="1065"/>
      <c r="D407" s="1064"/>
      <c r="E407" s="1091"/>
      <c r="F407" s="1091"/>
      <c r="G407" s="1052"/>
      <c r="H407" s="1055"/>
      <c r="I407" s="1055"/>
      <c r="J407" s="1114" t="str">
        <f t="shared" si="26"/>
        <v/>
      </c>
      <c r="K407" s="1055"/>
      <c r="L407" s="1055"/>
      <c r="M407" s="1115" t="str">
        <f t="shared" si="27"/>
        <v/>
      </c>
      <c r="N407" s="1055"/>
      <c r="O407" s="1055"/>
      <c r="P407" s="1115" t="str">
        <f t="shared" si="28"/>
        <v/>
      </c>
      <c r="Q407" s="1055"/>
      <c r="R407" s="1055"/>
      <c r="S407" s="1115" t="str">
        <f t="shared" si="29"/>
        <v/>
      </c>
      <c r="T407" s="1054"/>
      <c r="U407" s="1055"/>
      <c r="V407" s="1253" t="str">
        <f t="shared" si="30"/>
        <v/>
      </c>
      <c r="W407" s="1042"/>
    </row>
    <row r="408" spans="2:23" x14ac:dyDescent="0.25">
      <c r="B408" s="1064"/>
      <c r="C408" s="1065"/>
      <c r="D408" s="1064"/>
      <c r="E408" s="1073"/>
      <c r="F408" s="1073"/>
      <c r="G408" s="1052"/>
      <c r="H408" s="1055"/>
      <c r="I408" s="1055"/>
      <c r="J408" s="1114" t="str">
        <f t="shared" si="26"/>
        <v/>
      </c>
      <c r="K408" s="1055"/>
      <c r="L408" s="1055"/>
      <c r="M408" s="1115" t="str">
        <f t="shared" si="27"/>
        <v/>
      </c>
      <c r="N408" s="1055"/>
      <c r="O408" s="1055"/>
      <c r="P408" s="1115" t="str">
        <f t="shared" si="28"/>
        <v/>
      </c>
      <c r="Q408" s="1055"/>
      <c r="R408" s="1055"/>
      <c r="S408" s="1115" t="str">
        <f t="shared" si="29"/>
        <v/>
      </c>
      <c r="T408" s="1054"/>
      <c r="U408" s="1055"/>
      <c r="V408" s="1253" t="str">
        <f t="shared" si="30"/>
        <v/>
      </c>
      <c r="W408" s="1042"/>
    </row>
    <row r="409" spans="2:23" x14ac:dyDescent="0.25">
      <c r="B409" s="1064"/>
      <c r="C409" s="1065"/>
      <c r="D409" s="1064"/>
      <c r="E409" s="1089"/>
      <c r="F409" s="1089"/>
      <c r="G409" s="1052"/>
      <c r="H409" s="1055"/>
      <c r="I409" s="1055"/>
      <c r="J409" s="1114" t="str">
        <f t="shared" si="26"/>
        <v/>
      </c>
      <c r="K409" s="1055"/>
      <c r="L409" s="1055"/>
      <c r="M409" s="1115" t="str">
        <f t="shared" si="27"/>
        <v/>
      </c>
      <c r="N409" s="1055"/>
      <c r="O409" s="1055"/>
      <c r="P409" s="1115" t="str">
        <f t="shared" si="28"/>
        <v/>
      </c>
      <c r="Q409" s="1055"/>
      <c r="R409" s="1055"/>
      <c r="S409" s="1115" t="str">
        <f t="shared" si="29"/>
        <v/>
      </c>
      <c r="T409" s="1054"/>
      <c r="U409" s="1055"/>
      <c r="V409" s="1253" t="str">
        <f t="shared" si="30"/>
        <v/>
      </c>
      <c r="W409" s="1042"/>
    </row>
    <row r="410" spans="2:23" x14ac:dyDescent="0.25">
      <c r="B410" s="1064"/>
      <c r="C410" s="1065"/>
      <c r="D410" s="1064"/>
      <c r="E410" s="1073"/>
      <c r="F410" s="1073"/>
      <c r="G410" s="1052"/>
      <c r="H410" s="1055"/>
      <c r="I410" s="1055"/>
      <c r="J410" s="1114" t="str">
        <f t="shared" ref="J410:J450" si="31">IF(AND(H410=0,I410=0),"",IF(I410&lt;&gt;0,IF(I410&gt;H410,100,I410/H410*100),0))</f>
        <v/>
      </c>
      <c r="K410" s="1055"/>
      <c r="L410" s="1055"/>
      <c r="M410" s="1115" t="str">
        <f t="shared" ref="M410:M450" si="32">IF(AND(K410=0,L410=0),"",IF(L410&lt;&gt;0,IF(L410&gt;K410,100,L410/K410*100),0))</f>
        <v/>
      </c>
      <c r="N410" s="1055"/>
      <c r="O410" s="1055"/>
      <c r="P410" s="1115" t="str">
        <f t="shared" ref="P410:P450" si="33">IF(AND(N410=0,O410=0),"",IF(O410&lt;&gt;0,IF(O410&gt;N410,100,O410/N410*100),0))</f>
        <v/>
      </c>
      <c r="Q410" s="1055"/>
      <c r="R410" s="1055"/>
      <c r="S410" s="1115" t="str">
        <f t="shared" ref="S410:S450" si="34">IF(AND(Q410=0,R410=0),"",IF(R410&lt;&gt;0,IF(R410&lt;=Q410,100,100-(R410-Q410)),0))</f>
        <v/>
      </c>
      <c r="T410" s="1054"/>
      <c r="U410" s="1055"/>
      <c r="V410" s="1253" t="str">
        <f t="shared" ref="V410:V450" si="35">IF(AND(T410=0,U410=0),"",IF(U410&lt;&gt;0,IF(U410&gt;T410,100,U410/T410*100),0))</f>
        <v/>
      </c>
      <c r="W410" s="1042"/>
    </row>
    <row r="411" spans="2:23" x14ac:dyDescent="0.25">
      <c r="B411" s="1064"/>
      <c r="C411" s="1065"/>
      <c r="D411" s="1064"/>
      <c r="E411" s="1067"/>
      <c r="F411" s="1067"/>
      <c r="G411" s="1052"/>
      <c r="H411" s="1055"/>
      <c r="I411" s="1055"/>
      <c r="J411" s="1114" t="str">
        <f t="shared" si="31"/>
        <v/>
      </c>
      <c r="K411" s="1055"/>
      <c r="L411" s="1055"/>
      <c r="M411" s="1115" t="str">
        <f t="shared" si="32"/>
        <v/>
      </c>
      <c r="N411" s="1055"/>
      <c r="O411" s="1055"/>
      <c r="P411" s="1115" t="str">
        <f t="shared" si="33"/>
        <v/>
      </c>
      <c r="Q411" s="1055"/>
      <c r="R411" s="1055"/>
      <c r="S411" s="1115" t="str">
        <f t="shared" si="34"/>
        <v/>
      </c>
      <c r="T411" s="1054"/>
      <c r="U411" s="1055"/>
      <c r="V411" s="1253" t="str">
        <f t="shared" si="35"/>
        <v/>
      </c>
      <c r="W411" s="1042"/>
    </row>
    <row r="412" spans="2:23" x14ac:dyDescent="0.25">
      <c r="B412" s="1064"/>
      <c r="C412" s="1065"/>
      <c r="D412" s="1064"/>
      <c r="E412" s="1067"/>
      <c r="F412" s="1067"/>
      <c r="G412" s="1052"/>
      <c r="H412" s="1055"/>
      <c r="I412" s="1055"/>
      <c r="J412" s="1114" t="str">
        <f t="shared" si="31"/>
        <v/>
      </c>
      <c r="K412" s="1055"/>
      <c r="L412" s="1055"/>
      <c r="M412" s="1115" t="str">
        <f t="shared" si="32"/>
        <v/>
      </c>
      <c r="N412" s="1055"/>
      <c r="O412" s="1055"/>
      <c r="P412" s="1115" t="str">
        <f t="shared" si="33"/>
        <v/>
      </c>
      <c r="Q412" s="1055"/>
      <c r="R412" s="1055"/>
      <c r="S412" s="1115" t="str">
        <f t="shared" si="34"/>
        <v/>
      </c>
      <c r="T412" s="1054"/>
      <c r="U412" s="1055"/>
      <c r="V412" s="1253" t="str">
        <f t="shared" si="35"/>
        <v/>
      </c>
      <c r="W412" s="1042"/>
    </row>
    <row r="413" spans="2:23" x14ac:dyDescent="0.25">
      <c r="B413" s="1064"/>
      <c r="C413" s="1065"/>
      <c r="D413" s="1064"/>
      <c r="E413" s="1067"/>
      <c r="F413" s="1067"/>
      <c r="G413" s="1052"/>
      <c r="H413" s="1055"/>
      <c r="I413" s="1055"/>
      <c r="J413" s="1114" t="str">
        <f t="shared" si="31"/>
        <v/>
      </c>
      <c r="K413" s="1055"/>
      <c r="L413" s="1055"/>
      <c r="M413" s="1115" t="str">
        <f t="shared" si="32"/>
        <v/>
      </c>
      <c r="N413" s="1055"/>
      <c r="O413" s="1055"/>
      <c r="P413" s="1115" t="str">
        <f t="shared" si="33"/>
        <v/>
      </c>
      <c r="Q413" s="1055"/>
      <c r="R413" s="1055"/>
      <c r="S413" s="1115" t="str">
        <f t="shared" si="34"/>
        <v/>
      </c>
      <c r="T413" s="1054"/>
      <c r="U413" s="1055"/>
      <c r="V413" s="1253" t="str">
        <f t="shared" si="35"/>
        <v/>
      </c>
      <c r="W413" s="1042"/>
    </row>
    <row r="414" spans="2:23" x14ac:dyDescent="0.25">
      <c r="B414" s="1064"/>
      <c r="C414" s="1065"/>
      <c r="D414" s="1064"/>
      <c r="E414" s="1067"/>
      <c r="F414" s="1067"/>
      <c r="G414" s="1052"/>
      <c r="H414" s="1055"/>
      <c r="I414" s="1055"/>
      <c r="J414" s="1114" t="str">
        <f t="shared" si="31"/>
        <v/>
      </c>
      <c r="K414" s="1055"/>
      <c r="L414" s="1055"/>
      <c r="M414" s="1115" t="str">
        <f t="shared" si="32"/>
        <v/>
      </c>
      <c r="N414" s="1055"/>
      <c r="O414" s="1055"/>
      <c r="P414" s="1115" t="str">
        <f t="shared" si="33"/>
        <v/>
      </c>
      <c r="Q414" s="1055"/>
      <c r="R414" s="1055"/>
      <c r="S414" s="1115" t="str">
        <f t="shared" si="34"/>
        <v/>
      </c>
      <c r="T414" s="1054"/>
      <c r="U414" s="1055"/>
      <c r="V414" s="1253" t="str">
        <f t="shared" si="35"/>
        <v/>
      </c>
      <c r="W414" s="1042"/>
    </row>
    <row r="415" spans="2:23" x14ac:dyDescent="0.25">
      <c r="B415" s="1064"/>
      <c r="C415" s="1065"/>
      <c r="D415" s="1064"/>
      <c r="E415" s="1067"/>
      <c r="F415" s="1067"/>
      <c r="G415" s="1052"/>
      <c r="H415" s="1055"/>
      <c r="I415" s="1055"/>
      <c r="J415" s="1114" t="str">
        <f t="shared" si="31"/>
        <v/>
      </c>
      <c r="K415" s="1055"/>
      <c r="L415" s="1055"/>
      <c r="M415" s="1115" t="str">
        <f t="shared" si="32"/>
        <v/>
      </c>
      <c r="N415" s="1055"/>
      <c r="O415" s="1055"/>
      <c r="P415" s="1115" t="str">
        <f t="shared" si="33"/>
        <v/>
      </c>
      <c r="Q415" s="1055"/>
      <c r="R415" s="1055"/>
      <c r="S415" s="1115" t="str">
        <f t="shared" si="34"/>
        <v/>
      </c>
      <c r="T415" s="1054"/>
      <c r="U415" s="1055"/>
      <c r="V415" s="1253" t="str">
        <f t="shared" si="35"/>
        <v/>
      </c>
      <c r="W415" s="1042"/>
    </row>
    <row r="416" spans="2:23" x14ac:dyDescent="0.25">
      <c r="B416" s="1064"/>
      <c r="C416" s="1065"/>
      <c r="D416" s="1064"/>
      <c r="E416" s="1067"/>
      <c r="F416" s="1067"/>
      <c r="G416" s="1052"/>
      <c r="H416" s="1055"/>
      <c r="I416" s="1055"/>
      <c r="J416" s="1114" t="str">
        <f t="shared" si="31"/>
        <v/>
      </c>
      <c r="K416" s="1055"/>
      <c r="L416" s="1055"/>
      <c r="M416" s="1115" t="str">
        <f t="shared" si="32"/>
        <v/>
      </c>
      <c r="N416" s="1055"/>
      <c r="O416" s="1055"/>
      <c r="P416" s="1115" t="str">
        <f t="shared" si="33"/>
        <v/>
      </c>
      <c r="Q416" s="1055"/>
      <c r="R416" s="1055"/>
      <c r="S416" s="1115" t="str">
        <f t="shared" si="34"/>
        <v/>
      </c>
      <c r="T416" s="1054"/>
      <c r="U416" s="1055"/>
      <c r="V416" s="1253" t="str">
        <f t="shared" si="35"/>
        <v/>
      </c>
      <c r="W416" s="1042"/>
    </row>
    <row r="417" spans="2:23" x14ac:dyDescent="0.25">
      <c r="B417" s="1064"/>
      <c r="C417" s="1065"/>
      <c r="D417" s="1064"/>
      <c r="E417" s="1067"/>
      <c r="F417" s="1067"/>
      <c r="G417" s="1052"/>
      <c r="H417" s="1055"/>
      <c r="I417" s="1055"/>
      <c r="J417" s="1114" t="str">
        <f t="shared" si="31"/>
        <v/>
      </c>
      <c r="K417" s="1055"/>
      <c r="L417" s="1055"/>
      <c r="M417" s="1115" t="str">
        <f t="shared" si="32"/>
        <v/>
      </c>
      <c r="N417" s="1055"/>
      <c r="O417" s="1055"/>
      <c r="P417" s="1115" t="str">
        <f t="shared" si="33"/>
        <v/>
      </c>
      <c r="Q417" s="1055"/>
      <c r="R417" s="1055"/>
      <c r="S417" s="1115" t="str">
        <f t="shared" si="34"/>
        <v/>
      </c>
      <c r="T417" s="1054"/>
      <c r="U417" s="1055"/>
      <c r="V417" s="1253" t="str">
        <f t="shared" si="35"/>
        <v/>
      </c>
      <c r="W417" s="1042"/>
    </row>
    <row r="418" spans="2:23" x14ac:dyDescent="0.25">
      <c r="B418" s="1064"/>
      <c r="C418" s="1065"/>
      <c r="D418" s="1064"/>
      <c r="E418" s="1067"/>
      <c r="F418" s="1067"/>
      <c r="G418" s="1052"/>
      <c r="H418" s="1055"/>
      <c r="I418" s="1055"/>
      <c r="J418" s="1114" t="str">
        <f t="shared" si="31"/>
        <v/>
      </c>
      <c r="K418" s="1055"/>
      <c r="L418" s="1055"/>
      <c r="M418" s="1115" t="str">
        <f t="shared" si="32"/>
        <v/>
      </c>
      <c r="N418" s="1055"/>
      <c r="O418" s="1055"/>
      <c r="P418" s="1115" t="str">
        <f t="shared" si="33"/>
        <v/>
      </c>
      <c r="Q418" s="1055"/>
      <c r="R418" s="1055"/>
      <c r="S418" s="1115" t="str">
        <f t="shared" si="34"/>
        <v/>
      </c>
      <c r="T418" s="1054"/>
      <c r="U418" s="1055"/>
      <c r="V418" s="1253" t="str">
        <f t="shared" si="35"/>
        <v/>
      </c>
      <c r="W418" s="1042"/>
    </row>
    <row r="419" spans="2:23" x14ac:dyDescent="0.25">
      <c r="B419" s="1064"/>
      <c r="C419" s="1065"/>
      <c r="D419" s="1064"/>
      <c r="E419" s="1067"/>
      <c r="F419" s="1067"/>
      <c r="G419" s="1052"/>
      <c r="H419" s="1055"/>
      <c r="I419" s="1055"/>
      <c r="J419" s="1114" t="str">
        <f t="shared" si="31"/>
        <v/>
      </c>
      <c r="K419" s="1055"/>
      <c r="L419" s="1055"/>
      <c r="M419" s="1115" t="str">
        <f t="shared" si="32"/>
        <v/>
      </c>
      <c r="N419" s="1055"/>
      <c r="O419" s="1055"/>
      <c r="P419" s="1115" t="str">
        <f t="shared" si="33"/>
        <v/>
      </c>
      <c r="Q419" s="1055"/>
      <c r="R419" s="1055"/>
      <c r="S419" s="1115" t="str">
        <f t="shared" si="34"/>
        <v/>
      </c>
      <c r="T419" s="1054"/>
      <c r="U419" s="1055"/>
      <c r="V419" s="1253" t="str">
        <f t="shared" si="35"/>
        <v/>
      </c>
      <c r="W419" s="1042"/>
    </row>
    <row r="420" spans="2:23" x14ac:dyDescent="0.25">
      <c r="B420" s="1064"/>
      <c r="C420" s="1065"/>
      <c r="D420" s="1064"/>
      <c r="E420" s="1067"/>
      <c r="F420" s="1067"/>
      <c r="G420" s="1052"/>
      <c r="H420" s="1055"/>
      <c r="I420" s="1055"/>
      <c r="J420" s="1114" t="str">
        <f t="shared" si="31"/>
        <v/>
      </c>
      <c r="K420" s="1055"/>
      <c r="L420" s="1055"/>
      <c r="M420" s="1115" t="str">
        <f t="shared" si="32"/>
        <v/>
      </c>
      <c r="N420" s="1055"/>
      <c r="O420" s="1055"/>
      <c r="P420" s="1115" t="str">
        <f t="shared" si="33"/>
        <v/>
      </c>
      <c r="Q420" s="1055"/>
      <c r="R420" s="1055"/>
      <c r="S420" s="1115" t="str">
        <f t="shared" si="34"/>
        <v/>
      </c>
      <c r="T420" s="1054"/>
      <c r="U420" s="1055"/>
      <c r="V420" s="1253" t="str">
        <f t="shared" si="35"/>
        <v/>
      </c>
      <c r="W420" s="1042"/>
    </row>
    <row r="421" spans="2:23" x14ac:dyDescent="0.25">
      <c r="B421" s="1064"/>
      <c r="C421" s="1065"/>
      <c r="D421" s="1064"/>
      <c r="E421" s="1067"/>
      <c r="F421" s="1067"/>
      <c r="G421" s="1052"/>
      <c r="H421" s="1055"/>
      <c r="I421" s="1055"/>
      <c r="J421" s="1114" t="str">
        <f t="shared" si="31"/>
        <v/>
      </c>
      <c r="K421" s="1055"/>
      <c r="L421" s="1055"/>
      <c r="M421" s="1115" t="str">
        <f t="shared" si="32"/>
        <v/>
      </c>
      <c r="N421" s="1055"/>
      <c r="O421" s="1055"/>
      <c r="P421" s="1115" t="str">
        <f t="shared" si="33"/>
        <v/>
      </c>
      <c r="Q421" s="1055"/>
      <c r="R421" s="1055"/>
      <c r="S421" s="1115" t="str">
        <f t="shared" si="34"/>
        <v/>
      </c>
      <c r="T421" s="1054"/>
      <c r="U421" s="1055"/>
      <c r="V421" s="1253" t="str">
        <f t="shared" si="35"/>
        <v/>
      </c>
      <c r="W421" s="1042"/>
    </row>
    <row r="422" spans="2:23" x14ac:dyDescent="0.25">
      <c r="B422" s="1064"/>
      <c r="C422" s="1065"/>
      <c r="D422" s="1064"/>
      <c r="E422" s="1067"/>
      <c r="F422" s="1067"/>
      <c r="G422" s="1052"/>
      <c r="H422" s="1055"/>
      <c r="I422" s="1055"/>
      <c r="J422" s="1114" t="str">
        <f t="shared" si="31"/>
        <v/>
      </c>
      <c r="K422" s="1055"/>
      <c r="L422" s="1055"/>
      <c r="M422" s="1115" t="str">
        <f t="shared" si="32"/>
        <v/>
      </c>
      <c r="N422" s="1055"/>
      <c r="O422" s="1055"/>
      <c r="P422" s="1115" t="str">
        <f t="shared" si="33"/>
        <v/>
      </c>
      <c r="Q422" s="1055"/>
      <c r="R422" s="1055"/>
      <c r="S422" s="1115" t="str">
        <f t="shared" si="34"/>
        <v/>
      </c>
      <c r="T422" s="1054"/>
      <c r="U422" s="1055"/>
      <c r="V422" s="1253" t="str">
        <f t="shared" si="35"/>
        <v/>
      </c>
      <c r="W422" s="1042"/>
    </row>
    <row r="423" spans="2:23" x14ac:dyDescent="0.25">
      <c r="B423" s="1064"/>
      <c r="C423" s="1065"/>
      <c r="D423" s="1064"/>
      <c r="E423" s="1067"/>
      <c r="F423" s="1067"/>
      <c r="G423" s="1052"/>
      <c r="H423" s="1055"/>
      <c r="I423" s="1055"/>
      <c r="J423" s="1114" t="str">
        <f t="shared" si="31"/>
        <v/>
      </c>
      <c r="K423" s="1055"/>
      <c r="L423" s="1055"/>
      <c r="M423" s="1115" t="str">
        <f t="shared" si="32"/>
        <v/>
      </c>
      <c r="N423" s="1055"/>
      <c r="O423" s="1055"/>
      <c r="P423" s="1115" t="str">
        <f t="shared" si="33"/>
        <v/>
      </c>
      <c r="Q423" s="1055"/>
      <c r="R423" s="1055"/>
      <c r="S423" s="1115" t="str">
        <f t="shared" si="34"/>
        <v/>
      </c>
      <c r="T423" s="1054"/>
      <c r="U423" s="1055"/>
      <c r="V423" s="1253" t="str">
        <f t="shared" si="35"/>
        <v/>
      </c>
      <c r="W423" s="1042"/>
    </row>
    <row r="424" spans="2:23" x14ac:dyDescent="0.25">
      <c r="B424" s="1064"/>
      <c r="C424" s="1065"/>
      <c r="D424" s="1064"/>
      <c r="E424" s="1067"/>
      <c r="F424" s="1067"/>
      <c r="G424" s="1052"/>
      <c r="H424" s="1055"/>
      <c r="I424" s="1055"/>
      <c r="J424" s="1114" t="str">
        <f t="shared" si="31"/>
        <v/>
      </c>
      <c r="K424" s="1055"/>
      <c r="L424" s="1055"/>
      <c r="M424" s="1115" t="str">
        <f t="shared" si="32"/>
        <v/>
      </c>
      <c r="N424" s="1055"/>
      <c r="O424" s="1055"/>
      <c r="P424" s="1115" t="str">
        <f t="shared" si="33"/>
        <v/>
      </c>
      <c r="Q424" s="1055"/>
      <c r="R424" s="1055"/>
      <c r="S424" s="1115" t="str">
        <f t="shared" si="34"/>
        <v/>
      </c>
      <c r="T424" s="1054"/>
      <c r="U424" s="1055"/>
      <c r="V424" s="1253" t="str">
        <f t="shared" si="35"/>
        <v/>
      </c>
      <c r="W424" s="1042"/>
    </row>
    <row r="425" spans="2:23" x14ac:dyDescent="0.25">
      <c r="B425" s="1064"/>
      <c r="C425" s="1065"/>
      <c r="D425" s="1064"/>
      <c r="E425" s="1067"/>
      <c r="F425" s="1067"/>
      <c r="G425" s="1052"/>
      <c r="H425" s="1055"/>
      <c r="I425" s="1055"/>
      <c r="J425" s="1114" t="str">
        <f t="shared" si="31"/>
        <v/>
      </c>
      <c r="K425" s="1055"/>
      <c r="L425" s="1055"/>
      <c r="M425" s="1115" t="str">
        <f t="shared" si="32"/>
        <v/>
      </c>
      <c r="N425" s="1055"/>
      <c r="O425" s="1055"/>
      <c r="P425" s="1115" t="str">
        <f t="shared" si="33"/>
        <v/>
      </c>
      <c r="Q425" s="1055"/>
      <c r="R425" s="1055"/>
      <c r="S425" s="1115" t="str">
        <f t="shared" si="34"/>
        <v/>
      </c>
      <c r="T425" s="1054"/>
      <c r="U425" s="1055"/>
      <c r="V425" s="1253" t="str">
        <f t="shared" si="35"/>
        <v/>
      </c>
      <c r="W425" s="1042"/>
    </row>
    <row r="426" spans="2:23" x14ac:dyDescent="0.25">
      <c r="B426" s="1064"/>
      <c r="C426" s="1065"/>
      <c r="D426" s="1064"/>
      <c r="E426" s="1067"/>
      <c r="F426" s="1067"/>
      <c r="G426" s="1052"/>
      <c r="H426" s="1055"/>
      <c r="I426" s="1055"/>
      <c r="J426" s="1114" t="str">
        <f t="shared" si="31"/>
        <v/>
      </c>
      <c r="K426" s="1055"/>
      <c r="L426" s="1055"/>
      <c r="M426" s="1115" t="str">
        <f t="shared" si="32"/>
        <v/>
      </c>
      <c r="N426" s="1055"/>
      <c r="O426" s="1055"/>
      <c r="P426" s="1115" t="str">
        <f t="shared" si="33"/>
        <v/>
      </c>
      <c r="Q426" s="1055"/>
      <c r="R426" s="1055"/>
      <c r="S426" s="1115" t="str">
        <f t="shared" si="34"/>
        <v/>
      </c>
      <c r="T426" s="1054"/>
      <c r="U426" s="1055"/>
      <c r="V426" s="1253" t="str">
        <f t="shared" si="35"/>
        <v/>
      </c>
      <c r="W426" s="1042"/>
    </row>
    <row r="427" spans="2:23" x14ac:dyDescent="0.25">
      <c r="B427" s="1064"/>
      <c r="C427" s="1065"/>
      <c r="D427" s="1064"/>
      <c r="E427" s="1067"/>
      <c r="F427" s="1067"/>
      <c r="G427" s="1052"/>
      <c r="H427" s="1055"/>
      <c r="I427" s="1055"/>
      <c r="J427" s="1114" t="str">
        <f t="shared" si="31"/>
        <v/>
      </c>
      <c r="K427" s="1055"/>
      <c r="L427" s="1055"/>
      <c r="M427" s="1115" t="str">
        <f t="shared" si="32"/>
        <v/>
      </c>
      <c r="N427" s="1055"/>
      <c r="O427" s="1055"/>
      <c r="P427" s="1115" t="str">
        <f t="shared" si="33"/>
        <v/>
      </c>
      <c r="Q427" s="1055"/>
      <c r="R427" s="1055"/>
      <c r="S427" s="1115" t="str">
        <f t="shared" si="34"/>
        <v/>
      </c>
      <c r="T427" s="1054"/>
      <c r="U427" s="1055"/>
      <c r="V427" s="1253" t="str">
        <f t="shared" si="35"/>
        <v/>
      </c>
      <c r="W427" s="1042"/>
    </row>
    <row r="428" spans="2:23" x14ac:dyDescent="0.25">
      <c r="B428" s="1064"/>
      <c r="C428" s="1065"/>
      <c r="D428" s="1064"/>
      <c r="E428" s="1067"/>
      <c r="F428" s="1067"/>
      <c r="G428" s="1052"/>
      <c r="H428" s="1055"/>
      <c r="I428" s="1055"/>
      <c r="J428" s="1114" t="str">
        <f t="shared" si="31"/>
        <v/>
      </c>
      <c r="K428" s="1055"/>
      <c r="L428" s="1055"/>
      <c r="M428" s="1115" t="str">
        <f t="shared" si="32"/>
        <v/>
      </c>
      <c r="N428" s="1055"/>
      <c r="O428" s="1055"/>
      <c r="P428" s="1115" t="str">
        <f t="shared" si="33"/>
        <v/>
      </c>
      <c r="Q428" s="1055"/>
      <c r="R428" s="1055"/>
      <c r="S428" s="1115" t="str">
        <f t="shared" si="34"/>
        <v/>
      </c>
      <c r="T428" s="1054"/>
      <c r="U428" s="1055"/>
      <c r="V428" s="1253" t="str">
        <f t="shared" si="35"/>
        <v/>
      </c>
      <c r="W428" s="1042"/>
    </row>
    <row r="429" spans="2:23" x14ac:dyDescent="0.25">
      <c r="B429" s="1064"/>
      <c r="C429" s="1065"/>
      <c r="D429" s="1064"/>
      <c r="E429" s="1067"/>
      <c r="F429" s="1067"/>
      <c r="G429" s="1052"/>
      <c r="H429" s="1055"/>
      <c r="I429" s="1055"/>
      <c r="J429" s="1114" t="str">
        <f t="shared" si="31"/>
        <v/>
      </c>
      <c r="K429" s="1055"/>
      <c r="L429" s="1055"/>
      <c r="M429" s="1115" t="str">
        <f t="shared" si="32"/>
        <v/>
      </c>
      <c r="N429" s="1055"/>
      <c r="O429" s="1055"/>
      <c r="P429" s="1115" t="str">
        <f t="shared" si="33"/>
        <v/>
      </c>
      <c r="Q429" s="1055"/>
      <c r="R429" s="1055"/>
      <c r="S429" s="1115" t="str">
        <f t="shared" si="34"/>
        <v/>
      </c>
      <c r="T429" s="1054"/>
      <c r="U429" s="1055"/>
      <c r="V429" s="1253" t="str">
        <f t="shared" si="35"/>
        <v/>
      </c>
      <c r="W429" s="1042"/>
    </row>
    <row r="430" spans="2:23" x14ac:dyDescent="0.25">
      <c r="B430" s="1064"/>
      <c r="C430" s="1065"/>
      <c r="D430" s="1064"/>
      <c r="E430" s="1067"/>
      <c r="F430" s="1067"/>
      <c r="G430" s="1052"/>
      <c r="H430" s="1055"/>
      <c r="I430" s="1055"/>
      <c r="J430" s="1114" t="str">
        <f t="shared" si="31"/>
        <v/>
      </c>
      <c r="K430" s="1055"/>
      <c r="L430" s="1055"/>
      <c r="M430" s="1115" t="str">
        <f t="shared" si="32"/>
        <v/>
      </c>
      <c r="N430" s="1055"/>
      <c r="O430" s="1055"/>
      <c r="P430" s="1115" t="str">
        <f t="shared" si="33"/>
        <v/>
      </c>
      <c r="Q430" s="1055"/>
      <c r="R430" s="1055"/>
      <c r="S430" s="1115" t="str">
        <f t="shared" si="34"/>
        <v/>
      </c>
      <c r="T430" s="1054"/>
      <c r="U430" s="1055"/>
      <c r="V430" s="1253" t="str">
        <f t="shared" si="35"/>
        <v/>
      </c>
      <c r="W430" s="1042"/>
    </row>
    <row r="431" spans="2:23" x14ac:dyDescent="0.25">
      <c r="B431" s="1064"/>
      <c r="C431" s="1065"/>
      <c r="D431" s="1064"/>
      <c r="E431" s="1067"/>
      <c r="F431" s="1067"/>
      <c r="G431" s="1052"/>
      <c r="H431" s="1055"/>
      <c r="I431" s="1055"/>
      <c r="J431" s="1114" t="str">
        <f t="shared" si="31"/>
        <v/>
      </c>
      <c r="K431" s="1055"/>
      <c r="L431" s="1055"/>
      <c r="M431" s="1115" t="str">
        <f t="shared" si="32"/>
        <v/>
      </c>
      <c r="N431" s="1055"/>
      <c r="O431" s="1055"/>
      <c r="P431" s="1115" t="str">
        <f t="shared" si="33"/>
        <v/>
      </c>
      <c r="Q431" s="1055"/>
      <c r="R431" s="1055"/>
      <c r="S431" s="1115" t="str">
        <f t="shared" si="34"/>
        <v/>
      </c>
      <c r="T431" s="1054"/>
      <c r="U431" s="1055"/>
      <c r="V431" s="1253" t="str">
        <f t="shared" si="35"/>
        <v/>
      </c>
      <c r="W431" s="1042"/>
    </row>
    <row r="432" spans="2:23" x14ac:dyDescent="0.25">
      <c r="B432" s="1064"/>
      <c r="C432" s="1065"/>
      <c r="D432" s="1064"/>
      <c r="E432" s="1067"/>
      <c r="F432" s="1067"/>
      <c r="G432" s="1052"/>
      <c r="H432" s="1055"/>
      <c r="I432" s="1055"/>
      <c r="J432" s="1114" t="str">
        <f t="shared" si="31"/>
        <v/>
      </c>
      <c r="K432" s="1055"/>
      <c r="L432" s="1055"/>
      <c r="M432" s="1115" t="str">
        <f t="shared" si="32"/>
        <v/>
      </c>
      <c r="N432" s="1055"/>
      <c r="O432" s="1055"/>
      <c r="P432" s="1115" t="str">
        <f t="shared" si="33"/>
        <v/>
      </c>
      <c r="Q432" s="1055"/>
      <c r="R432" s="1055"/>
      <c r="S432" s="1115" t="str">
        <f t="shared" si="34"/>
        <v/>
      </c>
      <c r="T432" s="1054"/>
      <c r="U432" s="1055"/>
      <c r="V432" s="1253" t="str">
        <f t="shared" si="35"/>
        <v/>
      </c>
      <c r="W432" s="1042"/>
    </row>
    <row r="433" spans="2:23" x14ac:dyDescent="0.25">
      <c r="B433" s="1064"/>
      <c r="C433" s="1065"/>
      <c r="D433" s="1064"/>
      <c r="E433" s="1067"/>
      <c r="F433" s="1067"/>
      <c r="G433" s="1052"/>
      <c r="H433" s="1055"/>
      <c r="I433" s="1055"/>
      <c r="J433" s="1114" t="str">
        <f t="shared" si="31"/>
        <v/>
      </c>
      <c r="K433" s="1055"/>
      <c r="L433" s="1055"/>
      <c r="M433" s="1115" t="str">
        <f t="shared" si="32"/>
        <v/>
      </c>
      <c r="N433" s="1055"/>
      <c r="O433" s="1055"/>
      <c r="P433" s="1115" t="str">
        <f t="shared" si="33"/>
        <v/>
      </c>
      <c r="Q433" s="1055"/>
      <c r="R433" s="1055"/>
      <c r="S433" s="1115" t="str">
        <f t="shared" si="34"/>
        <v/>
      </c>
      <c r="T433" s="1054"/>
      <c r="U433" s="1055"/>
      <c r="V433" s="1253" t="str">
        <f t="shared" si="35"/>
        <v/>
      </c>
      <c r="W433" s="1042"/>
    </row>
    <row r="434" spans="2:23" x14ac:dyDescent="0.25">
      <c r="B434" s="1064"/>
      <c r="C434" s="1065"/>
      <c r="D434" s="1064"/>
      <c r="E434" s="1067"/>
      <c r="F434" s="1067"/>
      <c r="G434" s="1052"/>
      <c r="H434" s="1055"/>
      <c r="I434" s="1055"/>
      <c r="J434" s="1114" t="str">
        <f t="shared" si="31"/>
        <v/>
      </c>
      <c r="K434" s="1055"/>
      <c r="L434" s="1055"/>
      <c r="M434" s="1115" t="str">
        <f t="shared" si="32"/>
        <v/>
      </c>
      <c r="N434" s="1055"/>
      <c r="O434" s="1055"/>
      <c r="P434" s="1115" t="str">
        <f t="shared" si="33"/>
        <v/>
      </c>
      <c r="Q434" s="1055"/>
      <c r="R434" s="1055"/>
      <c r="S434" s="1115" t="str">
        <f t="shared" si="34"/>
        <v/>
      </c>
      <c r="T434" s="1054"/>
      <c r="U434" s="1055"/>
      <c r="V434" s="1253" t="str">
        <f t="shared" si="35"/>
        <v/>
      </c>
      <c r="W434" s="1042"/>
    </row>
    <row r="435" spans="2:23" x14ac:dyDescent="0.25">
      <c r="B435" s="1064"/>
      <c r="C435" s="1065"/>
      <c r="D435" s="1064"/>
      <c r="E435" s="1067"/>
      <c r="F435" s="1067"/>
      <c r="G435" s="1052"/>
      <c r="H435" s="1055"/>
      <c r="I435" s="1055"/>
      <c r="J435" s="1114" t="str">
        <f t="shared" si="31"/>
        <v/>
      </c>
      <c r="K435" s="1055"/>
      <c r="L435" s="1055"/>
      <c r="M435" s="1115" t="str">
        <f t="shared" si="32"/>
        <v/>
      </c>
      <c r="N435" s="1055"/>
      <c r="O435" s="1055"/>
      <c r="P435" s="1115" t="str">
        <f t="shared" si="33"/>
        <v/>
      </c>
      <c r="Q435" s="1055"/>
      <c r="R435" s="1055"/>
      <c r="S435" s="1115" t="str">
        <f t="shared" si="34"/>
        <v/>
      </c>
      <c r="T435" s="1054"/>
      <c r="U435" s="1055"/>
      <c r="V435" s="1253" t="str">
        <f t="shared" si="35"/>
        <v/>
      </c>
      <c r="W435" s="1042"/>
    </row>
    <row r="436" spans="2:23" x14ac:dyDescent="0.25">
      <c r="B436" s="1064"/>
      <c r="C436" s="1065"/>
      <c r="D436" s="1064"/>
      <c r="E436" s="1067"/>
      <c r="F436" s="1067"/>
      <c r="G436" s="1052"/>
      <c r="H436" s="1055"/>
      <c r="I436" s="1055"/>
      <c r="J436" s="1114" t="str">
        <f t="shared" si="31"/>
        <v/>
      </c>
      <c r="K436" s="1055"/>
      <c r="L436" s="1055"/>
      <c r="M436" s="1115" t="str">
        <f t="shared" si="32"/>
        <v/>
      </c>
      <c r="N436" s="1055"/>
      <c r="O436" s="1055"/>
      <c r="P436" s="1115" t="str">
        <f t="shared" si="33"/>
        <v/>
      </c>
      <c r="Q436" s="1055"/>
      <c r="R436" s="1055"/>
      <c r="S436" s="1115" t="str">
        <f t="shared" si="34"/>
        <v/>
      </c>
      <c r="T436" s="1054"/>
      <c r="U436" s="1055"/>
      <c r="V436" s="1253" t="str">
        <f t="shared" si="35"/>
        <v/>
      </c>
      <c r="W436" s="1042"/>
    </row>
    <row r="437" spans="2:23" x14ac:dyDescent="0.25">
      <c r="B437" s="1064"/>
      <c r="C437" s="1065"/>
      <c r="D437" s="1064"/>
      <c r="E437" s="1067"/>
      <c r="F437" s="1067"/>
      <c r="G437" s="1052"/>
      <c r="H437" s="1055"/>
      <c r="I437" s="1055"/>
      <c r="J437" s="1114" t="str">
        <f t="shared" si="31"/>
        <v/>
      </c>
      <c r="K437" s="1055"/>
      <c r="L437" s="1055"/>
      <c r="M437" s="1115" t="str">
        <f t="shared" si="32"/>
        <v/>
      </c>
      <c r="N437" s="1055"/>
      <c r="O437" s="1055"/>
      <c r="P437" s="1115" t="str">
        <f t="shared" si="33"/>
        <v/>
      </c>
      <c r="Q437" s="1055"/>
      <c r="R437" s="1055"/>
      <c r="S437" s="1115" t="str">
        <f t="shared" si="34"/>
        <v/>
      </c>
      <c r="T437" s="1054"/>
      <c r="U437" s="1055"/>
      <c r="V437" s="1253" t="str">
        <f t="shared" si="35"/>
        <v/>
      </c>
      <c r="W437" s="1042"/>
    </row>
    <row r="438" spans="2:23" x14ac:dyDescent="0.25">
      <c r="B438" s="1064"/>
      <c r="C438" s="1065"/>
      <c r="D438" s="1064"/>
      <c r="E438" s="1067"/>
      <c r="F438" s="1067"/>
      <c r="G438" s="1052"/>
      <c r="H438" s="1055"/>
      <c r="I438" s="1055"/>
      <c r="J438" s="1114" t="str">
        <f t="shared" si="31"/>
        <v/>
      </c>
      <c r="K438" s="1055"/>
      <c r="L438" s="1055"/>
      <c r="M438" s="1115" t="str">
        <f t="shared" si="32"/>
        <v/>
      </c>
      <c r="N438" s="1055"/>
      <c r="O438" s="1055"/>
      <c r="P438" s="1115" t="str">
        <f t="shared" si="33"/>
        <v/>
      </c>
      <c r="Q438" s="1055"/>
      <c r="R438" s="1055"/>
      <c r="S438" s="1115" t="str">
        <f t="shared" si="34"/>
        <v/>
      </c>
      <c r="T438" s="1054"/>
      <c r="U438" s="1055"/>
      <c r="V438" s="1253" t="str">
        <f t="shared" si="35"/>
        <v/>
      </c>
      <c r="W438" s="1042"/>
    </row>
    <row r="439" spans="2:23" x14ac:dyDescent="0.25">
      <c r="B439" s="1064"/>
      <c r="C439" s="1065"/>
      <c r="D439" s="1064"/>
      <c r="E439" s="1067"/>
      <c r="F439" s="1067"/>
      <c r="G439" s="1052"/>
      <c r="H439" s="1055"/>
      <c r="I439" s="1055"/>
      <c r="J439" s="1114" t="str">
        <f t="shared" si="31"/>
        <v/>
      </c>
      <c r="K439" s="1055"/>
      <c r="L439" s="1055"/>
      <c r="M439" s="1115" t="str">
        <f t="shared" si="32"/>
        <v/>
      </c>
      <c r="N439" s="1055"/>
      <c r="O439" s="1055"/>
      <c r="P439" s="1115" t="str">
        <f t="shared" si="33"/>
        <v/>
      </c>
      <c r="Q439" s="1055"/>
      <c r="R439" s="1055"/>
      <c r="S439" s="1115" t="str">
        <f t="shared" si="34"/>
        <v/>
      </c>
      <c r="T439" s="1054"/>
      <c r="U439" s="1055"/>
      <c r="V439" s="1253" t="str">
        <f t="shared" si="35"/>
        <v/>
      </c>
      <c r="W439" s="1042"/>
    </row>
    <row r="440" spans="2:23" x14ac:dyDescent="0.25">
      <c r="B440" s="1064"/>
      <c r="C440" s="1065"/>
      <c r="D440" s="1064"/>
      <c r="E440" s="1067"/>
      <c r="F440" s="1067"/>
      <c r="G440" s="1052"/>
      <c r="H440" s="1055"/>
      <c r="I440" s="1055"/>
      <c r="J440" s="1114" t="str">
        <f t="shared" si="31"/>
        <v/>
      </c>
      <c r="K440" s="1055"/>
      <c r="L440" s="1055"/>
      <c r="M440" s="1115" t="str">
        <f t="shared" si="32"/>
        <v/>
      </c>
      <c r="N440" s="1055"/>
      <c r="O440" s="1055"/>
      <c r="P440" s="1115" t="str">
        <f t="shared" si="33"/>
        <v/>
      </c>
      <c r="Q440" s="1055"/>
      <c r="R440" s="1055"/>
      <c r="S440" s="1115" t="str">
        <f t="shared" si="34"/>
        <v/>
      </c>
      <c r="T440" s="1054"/>
      <c r="U440" s="1055"/>
      <c r="V440" s="1253" t="str">
        <f t="shared" si="35"/>
        <v/>
      </c>
      <c r="W440" s="1042"/>
    </row>
    <row r="441" spans="2:23" x14ac:dyDescent="0.25">
      <c r="B441" s="1064"/>
      <c r="C441" s="1065"/>
      <c r="D441" s="1064"/>
      <c r="E441" s="1067"/>
      <c r="F441" s="1067"/>
      <c r="G441" s="1052"/>
      <c r="H441" s="1055"/>
      <c r="I441" s="1055"/>
      <c r="J441" s="1114" t="str">
        <f t="shared" si="31"/>
        <v/>
      </c>
      <c r="K441" s="1055"/>
      <c r="L441" s="1055"/>
      <c r="M441" s="1115" t="str">
        <f t="shared" si="32"/>
        <v/>
      </c>
      <c r="N441" s="1055"/>
      <c r="O441" s="1055"/>
      <c r="P441" s="1115" t="str">
        <f t="shared" si="33"/>
        <v/>
      </c>
      <c r="Q441" s="1055"/>
      <c r="R441" s="1055"/>
      <c r="S441" s="1115" t="str">
        <f t="shared" si="34"/>
        <v/>
      </c>
      <c r="T441" s="1054"/>
      <c r="U441" s="1055"/>
      <c r="V441" s="1253" t="str">
        <f t="shared" si="35"/>
        <v/>
      </c>
      <c r="W441" s="1042"/>
    </row>
    <row r="442" spans="2:23" x14ac:dyDescent="0.25">
      <c r="B442" s="1064"/>
      <c r="C442" s="1065"/>
      <c r="D442" s="1064"/>
      <c r="E442" s="1067"/>
      <c r="F442" s="1067"/>
      <c r="G442" s="1052"/>
      <c r="H442" s="1055"/>
      <c r="I442" s="1055"/>
      <c r="J442" s="1114" t="str">
        <f t="shared" si="31"/>
        <v/>
      </c>
      <c r="K442" s="1055"/>
      <c r="L442" s="1055"/>
      <c r="M442" s="1115" t="str">
        <f t="shared" si="32"/>
        <v/>
      </c>
      <c r="N442" s="1055"/>
      <c r="O442" s="1055"/>
      <c r="P442" s="1115" t="str">
        <f t="shared" si="33"/>
        <v/>
      </c>
      <c r="Q442" s="1055"/>
      <c r="R442" s="1055"/>
      <c r="S442" s="1115" t="str">
        <f t="shared" si="34"/>
        <v/>
      </c>
      <c r="T442" s="1054"/>
      <c r="U442" s="1055"/>
      <c r="V442" s="1253" t="str">
        <f t="shared" si="35"/>
        <v/>
      </c>
      <c r="W442" s="1042"/>
    </row>
    <row r="443" spans="2:23" x14ac:dyDescent="0.25">
      <c r="B443" s="1064"/>
      <c r="C443" s="1065"/>
      <c r="D443" s="1064"/>
      <c r="E443" s="1067"/>
      <c r="F443" s="1067"/>
      <c r="G443" s="1052"/>
      <c r="H443" s="1055"/>
      <c r="I443" s="1055"/>
      <c r="J443" s="1114" t="str">
        <f t="shared" si="31"/>
        <v/>
      </c>
      <c r="K443" s="1055"/>
      <c r="L443" s="1055"/>
      <c r="M443" s="1115" t="str">
        <f t="shared" si="32"/>
        <v/>
      </c>
      <c r="N443" s="1055"/>
      <c r="O443" s="1055"/>
      <c r="P443" s="1115" t="str">
        <f t="shared" si="33"/>
        <v/>
      </c>
      <c r="Q443" s="1055"/>
      <c r="R443" s="1055"/>
      <c r="S443" s="1115" t="str">
        <f t="shared" si="34"/>
        <v/>
      </c>
      <c r="T443" s="1054"/>
      <c r="U443" s="1055"/>
      <c r="V443" s="1253" t="str">
        <f t="shared" si="35"/>
        <v/>
      </c>
      <c r="W443" s="1042"/>
    </row>
    <row r="444" spans="2:23" x14ac:dyDescent="0.25">
      <c r="B444" s="1064"/>
      <c r="C444" s="1065"/>
      <c r="D444" s="1064"/>
      <c r="E444" s="1067"/>
      <c r="F444" s="1067"/>
      <c r="G444" s="1052"/>
      <c r="H444" s="1055"/>
      <c r="I444" s="1055"/>
      <c r="J444" s="1114" t="str">
        <f t="shared" si="31"/>
        <v/>
      </c>
      <c r="K444" s="1055"/>
      <c r="L444" s="1055"/>
      <c r="M444" s="1115" t="str">
        <f t="shared" si="32"/>
        <v/>
      </c>
      <c r="N444" s="1055"/>
      <c r="O444" s="1055"/>
      <c r="P444" s="1115" t="str">
        <f t="shared" si="33"/>
        <v/>
      </c>
      <c r="Q444" s="1055"/>
      <c r="R444" s="1055"/>
      <c r="S444" s="1115" t="str">
        <f t="shared" si="34"/>
        <v/>
      </c>
      <c r="T444" s="1054"/>
      <c r="U444" s="1055"/>
      <c r="V444" s="1253" t="str">
        <f t="shared" si="35"/>
        <v/>
      </c>
      <c r="W444" s="1042"/>
    </row>
    <row r="445" spans="2:23" x14ac:dyDescent="0.25">
      <c r="B445" s="1064"/>
      <c r="C445" s="1065"/>
      <c r="D445" s="1064"/>
      <c r="E445" s="1067"/>
      <c r="F445" s="1067"/>
      <c r="G445" s="1052"/>
      <c r="H445" s="1055"/>
      <c r="I445" s="1055"/>
      <c r="J445" s="1114" t="str">
        <f t="shared" si="31"/>
        <v/>
      </c>
      <c r="K445" s="1055"/>
      <c r="L445" s="1055"/>
      <c r="M445" s="1115" t="str">
        <f t="shared" si="32"/>
        <v/>
      </c>
      <c r="N445" s="1055"/>
      <c r="O445" s="1055"/>
      <c r="P445" s="1115" t="str">
        <f t="shared" si="33"/>
        <v/>
      </c>
      <c r="Q445" s="1055"/>
      <c r="R445" s="1055"/>
      <c r="S445" s="1115" t="str">
        <f t="shared" si="34"/>
        <v/>
      </c>
      <c r="T445" s="1054"/>
      <c r="U445" s="1055"/>
      <c r="V445" s="1253" t="str">
        <f t="shared" si="35"/>
        <v/>
      </c>
      <c r="W445" s="1042"/>
    </row>
    <row r="446" spans="2:23" x14ac:dyDescent="0.25">
      <c r="B446" s="1064"/>
      <c r="C446" s="1065"/>
      <c r="D446" s="1064"/>
      <c r="E446" s="1067"/>
      <c r="F446" s="1067"/>
      <c r="G446" s="1052"/>
      <c r="H446" s="1055"/>
      <c r="I446" s="1055"/>
      <c r="J446" s="1114" t="str">
        <f t="shared" si="31"/>
        <v/>
      </c>
      <c r="K446" s="1055"/>
      <c r="L446" s="1055"/>
      <c r="M446" s="1115" t="str">
        <f t="shared" si="32"/>
        <v/>
      </c>
      <c r="N446" s="1055"/>
      <c r="O446" s="1055"/>
      <c r="P446" s="1115" t="str">
        <f t="shared" si="33"/>
        <v/>
      </c>
      <c r="Q446" s="1055"/>
      <c r="R446" s="1055"/>
      <c r="S446" s="1115" t="str">
        <f t="shared" si="34"/>
        <v/>
      </c>
      <c r="T446" s="1054"/>
      <c r="U446" s="1055"/>
      <c r="V446" s="1253" t="str">
        <f t="shared" si="35"/>
        <v/>
      </c>
      <c r="W446" s="1042"/>
    </row>
    <row r="447" spans="2:23" x14ac:dyDescent="0.25">
      <c r="B447" s="1064"/>
      <c r="C447" s="1065"/>
      <c r="D447" s="1064"/>
      <c r="E447" s="1067"/>
      <c r="F447" s="1067"/>
      <c r="G447" s="1052"/>
      <c r="H447" s="1055"/>
      <c r="I447" s="1055"/>
      <c r="J447" s="1114" t="str">
        <f t="shared" si="31"/>
        <v/>
      </c>
      <c r="K447" s="1055"/>
      <c r="L447" s="1055"/>
      <c r="M447" s="1115" t="str">
        <f t="shared" si="32"/>
        <v/>
      </c>
      <c r="N447" s="1055"/>
      <c r="O447" s="1055"/>
      <c r="P447" s="1115" t="str">
        <f t="shared" si="33"/>
        <v/>
      </c>
      <c r="Q447" s="1055"/>
      <c r="R447" s="1055"/>
      <c r="S447" s="1115" t="str">
        <f t="shared" si="34"/>
        <v/>
      </c>
      <c r="T447" s="1054"/>
      <c r="U447" s="1055"/>
      <c r="V447" s="1253" t="str">
        <f t="shared" si="35"/>
        <v/>
      </c>
      <c r="W447" s="1042"/>
    </row>
    <row r="448" spans="2:23" x14ac:dyDescent="0.25">
      <c r="B448" s="1064"/>
      <c r="C448" s="1065"/>
      <c r="D448" s="1064"/>
      <c r="E448" s="1067"/>
      <c r="F448" s="1067"/>
      <c r="G448" s="1052"/>
      <c r="H448" s="1055"/>
      <c r="I448" s="1055"/>
      <c r="J448" s="1114" t="str">
        <f t="shared" si="31"/>
        <v/>
      </c>
      <c r="K448" s="1055"/>
      <c r="L448" s="1055"/>
      <c r="M448" s="1115" t="str">
        <f t="shared" si="32"/>
        <v/>
      </c>
      <c r="N448" s="1055"/>
      <c r="O448" s="1055"/>
      <c r="P448" s="1115" t="str">
        <f t="shared" si="33"/>
        <v/>
      </c>
      <c r="Q448" s="1055"/>
      <c r="R448" s="1055"/>
      <c r="S448" s="1115" t="str">
        <f t="shared" si="34"/>
        <v/>
      </c>
      <c r="T448" s="1054"/>
      <c r="U448" s="1055"/>
      <c r="V448" s="1253" t="str">
        <f t="shared" si="35"/>
        <v/>
      </c>
      <c r="W448" s="1042"/>
    </row>
    <row r="449" spans="2:23" x14ac:dyDescent="0.25">
      <c r="B449" s="1064"/>
      <c r="C449" s="1065"/>
      <c r="D449" s="1064"/>
      <c r="E449" s="1067"/>
      <c r="F449" s="1067"/>
      <c r="G449" s="1052"/>
      <c r="H449" s="1055"/>
      <c r="I449" s="1055"/>
      <c r="J449" s="1114" t="str">
        <f t="shared" si="31"/>
        <v/>
      </c>
      <c r="K449" s="1055"/>
      <c r="L449" s="1055"/>
      <c r="M449" s="1115" t="str">
        <f t="shared" si="32"/>
        <v/>
      </c>
      <c r="N449" s="1055"/>
      <c r="O449" s="1055"/>
      <c r="P449" s="1115" t="str">
        <f t="shared" si="33"/>
        <v/>
      </c>
      <c r="Q449" s="1055"/>
      <c r="R449" s="1055"/>
      <c r="S449" s="1115" t="str">
        <f t="shared" si="34"/>
        <v/>
      </c>
      <c r="T449" s="1054"/>
      <c r="U449" s="1055"/>
      <c r="V449" s="1253" t="str">
        <f t="shared" si="35"/>
        <v/>
      </c>
      <c r="W449" s="1042"/>
    </row>
    <row r="450" spans="2:23" x14ac:dyDescent="0.25">
      <c r="B450" s="1092"/>
      <c r="C450" s="1093"/>
      <c r="D450" s="1092"/>
      <c r="E450" s="1067"/>
      <c r="F450" s="1067"/>
      <c r="G450" s="1052"/>
      <c r="H450" s="1055"/>
      <c r="I450" s="1055"/>
      <c r="J450" s="1114" t="str">
        <f t="shared" si="31"/>
        <v/>
      </c>
      <c r="K450" s="1055"/>
      <c r="L450" s="1055"/>
      <c r="M450" s="1115" t="str">
        <f t="shared" si="32"/>
        <v/>
      </c>
      <c r="N450" s="1055"/>
      <c r="O450" s="1055"/>
      <c r="P450" s="1115" t="str">
        <f t="shared" si="33"/>
        <v/>
      </c>
      <c r="Q450" s="1055"/>
      <c r="R450" s="1055"/>
      <c r="S450" s="1115" t="str">
        <f t="shared" si="34"/>
        <v/>
      </c>
      <c r="T450" s="1054"/>
      <c r="U450" s="1055"/>
      <c r="V450" s="1253" t="str">
        <f t="shared" si="35"/>
        <v/>
      </c>
      <c r="W450" s="1042"/>
    </row>
    <row r="451" spans="2:23" x14ac:dyDescent="0.25">
      <c r="B451" s="1094"/>
      <c r="C451" s="1094"/>
      <c r="D451" s="1094"/>
      <c r="J451" s="1095"/>
      <c r="K451" s="1096"/>
      <c r="M451" s="1098"/>
      <c r="N451" s="1096"/>
      <c r="P451" s="1098"/>
      <c r="S451" s="1098"/>
      <c r="T451" s="1096"/>
      <c r="V451" s="1099"/>
      <c r="W451" s="1042"/>
    </row>
    <row r="452" spans="2:23" x14ac:dyDescent="0.25">
      <c r="B452" s="1094"/>
      <c r="C452" s="1094"/>
      <c r="D452" s="1094"/>
    </row>
    <row r="453" spans="2:23" x14ac:dyDescent="0.25">
      <c r="B453" s="2360" t="s">
        <v>464</v>
      </c>
      <c r="C453" s="2361"/>
      <c r="D453" s="1101" t="s">
        <v>841</v>
      </c>
      <c r="E453" s="1101" t="s">
        <v>842</v>
      </c>
      <c r="F453" s="1102"/>
      <c r="G453" s="1102"/>
      <c r="H453" s="1102"/>
    </row>
    <row r="454" spans="2:23" x14ac:dyDescent="0.25">
      <c r="B454" s="2340" t="str">
        <f>+'[2]1. RIESGOS Y CONTROLES'!A167</f>
        <v>Carmen Beatriz Moncada</v>
      </c>
      <c r="C454" s="2341"/>
      <c r="D454" s="1103" t="str">
        <f>+'[2]1. RIESGOS Y CONTROLES'!B167</f>
        <v>Supervisor</v>
      </c>
      <c r="E454" s="1104" t="e">
        <v>#REF!</v>
      </c>
      <c r="F454" s="1105"/>
      <c r="G454" s="1105"/>
      <c r="H454" s="1105"/>
    </row>
    <row r="455" spans="2:23" x14ac:dyDescent="0.25">
      <c r="B455" s="2340" t="str">
        <f>+'[2]1. RIESGOS Y CONTROLES'!A168</f>
        <v>Lorena Alarcón Martínez</v>
      </c>
      <c r="C455" s="2341"/>
      <c r="D455" s="1103" t="str">
        <f>+'[2]1. RIESGOS Y CONTROLES'!B168</f>
        <v>Líder</v>
      </c>
      <c r="E455" s="1104" t="e">
        <v>#REF!</v>
      </c>
      <c r="F455" s="1105"/>
      <c r="G455" s="1105"/>
      <c r="H455" s="1105"/>
    </row>
    <row r="456" spans="2:23" x14ac:dyDescent="0.25">
      <c r="B456" s="2340" t="str">
        <f>+'[2]1. RIESGOS Y CONTROLES'!A169</f>
        <v>Julian Alberto Rodas</v>
      </c>
      <c r="C456" s="2341"/>
      <c r="D456" s="1103" t="str">
        <f>+'[2]1. RIESGOS Y CONTROLES'!B169</f>
        <v>Auditor</v>
      </c>
      <c r="E456" s="1104" t="e">
        <v>#REF!</v>
      </c>
      <c r="F456" s="1105"/>
      <c r="G456" s="1105"/>
      <c r="H456" s="1105"/>
    </row>
    <row r="457" spans="2:23" x14ac:dyDescent="0.25">
      <c r="B457" s="2340" t="str">
        <f>+'[2]1. RIESGOS Y CONTROLES'!A170</f>
        <v>d</v>
      </c>
      <c r="C457" s="2341"/>
      <c r="D457" s="1103" t="str">
        <f>+'[2]1. RIESGOS Y CONTROLES'!B170</f>
        <v>z</v>
      </c>
      <c r="E457" s="1104" t="e">
        <v>#REF!</v>
      </c>
      <c r="F457" s="1105"/>
      <c r="G457" s="1105"/>
      <c r="H457" s="1105"/>
    </row>
    <row r="458" spans="2:23" x14ac:dyDescent="0.25">
      <c r="B458" s="2340" t="str">
        <f>+'[2]1. RIESGOS Y CONTROLES'!A171</f>
        <v>d</v>
      </c>
      <c r="C458" s="2341"/>
      <c r="D458" s="1103" t="str">
        <f>+'[2]1. RIESGOS Y CONTROLES'!B171</f>
        <v>z</v>
      </c>
      <c r="E458" s="1104" t="e">
        <v>#REF!</v>
      </c>
      <c r="F458" s="1105"/>
      <c r="G458" s="1105"/>
      <c r="H458" s="1105"/>
    </row>
    <row r="459" spans="2:23" x14ac:dyDescent="0.25">
      <c r="B459" s="2340" t="str">
        <f>+'[2]1. RIESGOS Y CONTROLES'!A172</f>
        <v>d</v>
      </c>
      <c r="C459" s="2341"/>
      <c r="D459" s="1103" t="str">
        <f>+'[2]1. RIESGOS Y CONTROLES'!B172</f>
        <v>z</v>
      </c>
      <c r="E459" s="1104" t="e">
        <v>#REF!</v>
      </c>
      <c r="F459" s="1105"/>
      <c r="G459" s="1105"/>
      <c r="H459" s="1105"/>
    </row>
    <row r="460" spans="2:23" x14ac:dyDescent="0.25">
      <c r="B460" s="2340" t="str">
        <f>+'[2]1. RIESGOS Y CONTROLES'!A173</f>
        <v>d</v>
      </c>
      <c r="C460" s="2341"/>
      <c r="D460" s="1103" t="str">
        <f>+'[2]1. RIESGOS Y CONTROLES'!B173</f>
        <v>z</v>
      </c>
      <c r="E460" s="1104" t="e">
        <v>#REF!</v>
      </c>
      <c r="F460" s="1105"/>
      <c r="G460" s="1105"/>
      <c r="H460" s="1105"/>
    </row>
    <row r="461" spans="2:23" x14ac:dyDescent="0.25">
      <c r="B461" s="2340" t="str">
        <f>+'[2]1. RIESGOS Y CONTROLES'!A174</f>
        <v>d</v>
      </c>
      <c r="C461" s="2341"/>
      <c r="D461" s="1103" t="str">
        <f>+'[2]1. RIESGOS Y CONTROLES'!B174</f>
        <v>z</v>
      </c>
      <c r="E461" s="1104" t="e">
        <v>#REF!</v>
      </c>
      <c r="F461" s="1105"/>
      <c r="G461" s="1105"/>
      <c r="H461" s="1105"/>
    </row>
    <row r="462" spans="2:23" x14ac:dyDescent="0.25">
      <c r="B462" s="2340" t="str">
        <f>+'[2]1. RIESGOS Y CONTROLES'!A175</f>
        <v>d</v>
      </c>
      <c r="C462" s="2341"/>
      <c r="D462" s="1103" t="str">
        <f>+'[2]1. RIESGOS Y CONTROLES'!B175</f>
        <v>z</v>
      </c>
      <c r="E462" s="1104" t="e">
        <v>#REF!</v>
      </c>
      <c r="F462" s="1105"/>
      <c r="G462" s="1105"/>
      <c r="H462" s="1105"/>
    </row>
    <row r="463" spans="2:23" x14ac:dyDescent="0.25">
      <c r="B463" s="2340" t="str">
        <f>+'[2]1. RIESGOS Y CONTROLES'!A176</f>
        <v>d</v>
      </c>
      <c r="C463" s="2341"/>
      <c r="D463" s="1103" t="str">
        <f>+'[2]1. RIESGOS Y CONTROLES'!B176</f>
        <v>z</v>
      </c>
      <c r="E463" s="1104" t="e">
        <v>#REF!</v>
      </c>
      <c r="F463" s="1105"/>
      <c r="G463" s="1105"/>
      <c r="H463" s="1105"/>
    </row>
    <row r="464" spans="2:23" x14ac:dyDescent="0.25">
      <c r="B464" s="2340" t="str">
        <f>+'[2]1. RIESGOS Y CONTROLES'!A177</f>
        <v>d</v>
      </c>
      <c r="C464" s="2341"/>
      <c r="D464" s="1103" t="str">
        <f>+'[2]1. RIESGOS Y CONTROLES'!B177</f>
        <v>z</v>
      </c>
      <c r="E464" s="1104" t="e">
        <v>#REF!</v>
      </c>
      <c r="F464" s="1105"/>
      <c r="G464" s="1105"/>
      <c r="H464" s="1105"/>
    </row>
    <row r="465" spans="2:8" x14ac:dyDescent="0.25">
      <c r="B465" s="2340" t="str">
        <f>+'[2]1. RIESGOS Y CONTROLES'!A178</f>
        <v>d</v>
      </c>
      <c r="C465" s="2341"/>
      <c r="D465" s="1103" t="str">
        <f>+'[2]1. RIESGOS Y CONTROLES'!B178</f>
        <v>z</v>
      </c>
      <c r="E465" s="1104" t="e">
        <v>#REF!</v>
      </c>
      <c r="F465" s="1105"/>
      <c r="G465" s="1105"/>
      <c r="H465" s="1105"/>
    </row>
    <row r="466" spans="2:8" x14ac:dyDescent="0.25">
      <c r="B466" s="2340" t="str">
        <f>+'[2]1. RIESGOS Y CONTROLES'!A179</f>
        <v>d</v>
      </c>
      <c r="C466" s="2341"/>
      <c r="D466" s="1103" t="str">
        <f>+'[2]1. RIESGOS Y CONTROLES'!B179</f>
        <v>z</v>
      </c>
      <c r="E466" s="1104" t="e">
        <v>#REF!</v>
      </c>
      <c r="F466" s="1105"/>
      <c r="G466" s="1105"/>
      <c r="H466" s="1105"/>
    </row>
    <row r="467" spans="2:8" x14ac:dyDescent="0.25">
      <c r="B467" s="2340" t="str">
        <f>+'[2]1. RIESGOS Y CONTROLES'!A180</f>
        <v>d</v>
      </c>
      <c r="C467" s="2341"/>
      <c r="D467" s="1103" t="str">
        <f>+'[2]1. RIESGOS Y CONTROLES'!B180</f>
        <v>z</v>
      </c>
      <c r="E467" s="1104" t="e">
        <v>#REF!</v>
      </c>
      <c r="F467" s="1105"/>
      <c r="G467" s="1105"/>
      <c r="H467" s="1105"/>
    </row>
    <row r="468" spans="2:8" x14ac:dyDescent="0.25">
      <c r="B468" s="2340" t="str">
        <f>+'[2]1. RIESGOS Y CONTROLES'!A181</f>
        <v>d</v>
      </c>
      <c r="C468" s="2341"/>
      <c r="D468" s="1103" t="str">
        <f>+'[2]1. RIESGOS Y CONTROLES'!B181</f>
        <v>z</v>
      </c>
      <c r="E468" s="1104" t="e">
        <v>#REF!</v>
      </c>
      <c r="F468" s="1105"/>
      <c r="G468" s="1105"/>
      <c r="H468" s="1105"/>
    </row>
    <row r="469" spans="2:8" x14ac:dyDescent="0.25">
      <c r="B469" s="2340" t="str">
        <f>+'[2]1. RIESGOS Y CONTROLES'!A182</f>
        <v>d</v>
      </c>
      <c r="C469" s="2341"/>
      <c r="D469" s="1103" t="str">
        <f>+'[2]1. RIESGOS Y CONTROLES'!B182</f>
        <v>z</v>
      </c>
      <c r="E469" s="1104"/>
      <c r="F469" s="1105"/>
      <c r="G469" s="1105"/>
    </row>
    <row r="470" spans="2:8" x14ac:dyDescent="0.25">
      <c r="B470" s="2340" t="str">
        <f>+'[2]1. RIESGOS Y CONTROLES'!A183</f>
        <v>d</v>
      </c>
      <c r="C470" s="2341"/>
      <c r="D470" s="1103" t="str">
        <f>+'[2]1. RIESGOS Y CONTROLES'!B183</f>
        <v>z</v>
      </c>
      <c r="E470" s="1104"/>
      <c r="F470" s="1105"/>
      <c r="G470" s="1105"/>
    </row>
    <row r="471" spans="2:8" x14ac:dyDescent="0.25">
      <c r="B471" s="2340" t="str">
        <f>+'[2]1. RIESGOS Y CONTROLES'!A184</f>
        <v>d</v>
      </c>
      <c r="C471" s="2341"/>
      <c r="D471" s="1103" t="str">
        <f>+'[2]1. RIESGOS Y CONTROLES'!B184</f>
        <v>z</v>
      </c>
      <c r="E471" s="1104"/>
      <c r="F471" s="1105"/>
      <c r="G471" s="1105"/>
    </row>
    <row r="472" spans="2:8" x14ac:dyDescent="0.25">
      <c r="B472" s="2340" t="str">
        <f>+'[2]1. RIESGOS Y CONTROLES'!A185</f>
        <v>d</v>
      </c>
      <c r="C472" s="2341"/>
      <c r="D472" s="1103" t="str">
        <f>+'[2]1. RIESGOS Y CONTROLES'!B185</f>
        <v>z</v>
      </c>
      <c r="E472" s="1104"/>
      <c r="F472" s="1105"/>
      <c r="G472" s="1105"/>
    </row>
    <row r="473" spans="2:8" x14ac:dyDescent="0.25">
      <c r="B473" s="2340" t="str">
        <f>+'[2]1. RIESGOS Y CONTROLES'!A186</f>
        <v>d</v>
      </c>
      <c r="C473" s="2341"/>
      <c r="D473" s="1103" t="str">
        <f>+'[2]1. RIESGOS Y CONTROLES'!B186</f>
        <v>z</v>
      </c>
      <c r="E473" s="1104"/>
      <c r="F473" s="1105"/>
      <c r="G473" s="1105"/>
    </row>
    <row r="474" spans="2:8" x14ac:dyDescent="0.25">
      <c r="B474" s="2340" t="str">
        <f>+'[2]1. RIESGOS Y CONTROLES'!A187</f>
        <v>d</v>
      </c>
      <c r="C474" s="2341"/>
      <c r="D474" s="1103" t="str">
        <f>+'[2]1. RIESGOS Y CONTROLES'!B187</f>
        <v>z</v>
      </c>
      <c r="E474" s="1104"/>
      <c r="F474" s="1105"/>
      <c r="G474" s="1105"/>
    </row>
    <row r="475" spans="2:8" x14ac:dyDescent="0.25">
      <c r="B475" s="2340" t="str">
        <f>+'[2]1. RIESGOS Y CONTROLES'!A188</f>
        <v>d</v>
      </c>
      <c r="C475" s="2341"/>
      <c r="D475" s="1103" t="str">
        <f>+'[2]1. RIESGOS Y CONTROLES'!B188</f>
        <v>z</v>
      </c>
      <c r="E475" s="1104"/>
      <c r="F475" s="1105"/>
      <c r="G475" s="1105"/>
    </row>
    <row r="476" spans="2:8" x14ac:dyDescent="0.25">
      <c r="B476" s="2340" t="str">
        <f>+'[2]1. RIESGOS Y CONTROLES'!A189</f>
        <v>d</v>
      </c>
      <c r="C476" s="2341"/>
      <c r="D476" s="1103" t="str">
        <f>+'[2]1. RIESGOS Y CONTROLES'!B189</f>
        <v>z</v>
      </c>
      <c r="E476" s="1104"/>
      <c r="F476" s="1105"/>
      <c r="G476" s="1105"/>
    </row>
    <row r="477" spans="2:8" x14ac:dyDescent="0.25">
      <c r="B477" s="2340" t="str">
        <f>+'[2]1. RIESGOS Y CONTROLES'!A190</f>
        <v>d</v>
      </c>
      <c r="C477" s="2341"/>
      <c r="D477" s="1103" t="str">
        <f>+'[2]1. RIESGOS Y CONTROLES'!B190</f>
        <v>z</v>
      </c>
      <c r="E477" s="1104"/>
      <c r="F477" s="1105"/>
      <c r="G477" s="1105"/>
    </row>
    <row r="478" spans="2:8" x14ac:dyDescent="0.25">
      <c r="B478" s="2340" t="str">
        <f>+'[2]1. RIESGOS Y CONTROLES'!A191</f>
        <v>d</v>
      </c>
      <c r="C478" s="2341"/>
      <c r="D478" s="1103" t="str">
        <f>+'[2]1. RIESGOS Y CONTROLES'!B191</f>
        <v>z</v>
      </c>
      <c r="E478" s="1104"/>
      <c r="F478" s="1105"/>
      <c r="G478" s="1105"/>
    </row>
    <row r="479" spans="2:8" x14ac:dyDescent="0.25">
      <c r="B479" s="2340" t="str">
        <f>+'[2]1. RIESGOS Y CONTROLES'!A192</f>
        <v>d</v>
      </c>
      <c r="C479" s="2341"/>
      <c r="D479" s="1103" t="str">
        <f>+'[2]1. RIESGOS Y CONTROLES'!B192</f>
        <v>z</v>
      </c>
      <c r="E479" s="1104"/>
      <c r="F479" s="1105"/>
      <c r="G479" s="1105"/>
    </row>
    <row r="480" spans="2:8" x14ac:dyDescent="0.25">
      <c r="B480" s="2340" t="str">
        <f>+'[2]1. RIESGOS Y CONTROLES'!A193</f>
        <v>d</v>
      </c>
      <c r="C480" s="2341"/>
      <c r="D480" s="1103" t="str">
        <f>+'[2]1. RIESGOS Y CONTROLES'!B193</f>
        <v>z</v>
      </c>
      <c r="E480" s="1104"/>
      <c r="F480" s="1105"/>
      <c r="G480" s="1105"/>
    </row>
    <row r="481" spans="2:7" x14ac:dyDescent="0.25">
      <c r="B481" s="2340" t="str">
        <f>+'[2]1. RIESGOS Y CONTROLES'!A194</f>
        <v>d</v>
      </c>
      <c r="C481" s="2341"/>
      <c r="D481" s="1103" t="str">
        <f>+'[2]1. RIESGOS Y CONTROLES'!B194</f>
        <v>z</v>
      </c>
      <c r="E481" s="1104"/>
      <c r="F481" s="1105"/>
      <c r="G481" s="1105"/>
    </row>
    <row r="482" spans="2:7" x14ac:dyDescent="0.25">
      <c r="B482" s="2340" t="str">
        <f>+'[2]1. RIESGOS Y CONTROLES'!A195</f>
        <v>d</v>
      </c>
      <c r="C482" s="2341"/>
      <c r="D482" s="1103" t="str">
        <f>+'[2]1. RIESGOS Y CONTROLES'!B195</f>
        <v>z</v>
      </c>
      <c r="E482" s="1104"/>
      <c r="F482" s="1105"/>
      <c r="G482" s="1105"/>
    </row>
    <row r="483" spans="2:7" x14ac:dyDescent="0.25">
      <c r="B483" s="2340" t="str">
        <f>+'[2]1. RIESGOS Y CONTROLES'!A196</f>
        <v>d</v>
      </c>
      <c r="C483" s="2341"/>
      <c r="D483" s="1103" t="str">
        <f>+'[2]1. RIESGOS Y CONTROLES'!B196</f>
        <v>z</v>
      </c>
      <c r="E483" s="1104"/>
      <c r="F483" s="1105"/>
      <c r="G483" s="1105"/>
    </row>
    <row r="484" spans="2:7" x14ac:dyDescent="0.25">
      <c r="B484" s="2340" t="str">
        <f>+'[2]1. RIESGOS Y CONTROLES'!A197</f>
        <v>d</v>
      </c>
      <c r="C484" s="2341"/>
      <c r="D484" s="1103" t="str">
        <f>+'[2]1. RIESGOS Y CONTROLES'!B197</f>
        <v>z</v>
      </c>
      <c r="E484" s="1104"/>
      <c r="F484" s="1105"/>
      <c r="G484" s="1105"/>
    </row>
    <row r="485" spans="2:7" x14ac:dyDescent="0.25">
      <c r="B485" s="2340" t="str">
        <f>+'[2]1. RIESGOS Y CONTROLES'!A198</f>
        <v>d</v>
      </c>
      <c r="C485" s="2341"/>
      <c r="D485" s="1103" t="str">
        <f>+'[2]1. RIESGOS Y CONTROLES'!B198</f>
        <v>z</v>
      </c>
      <c r="E485" s="1104"/>
      <c r="F485" s="1105"/>
      <c r="G485" s="1105"/>
    </row>
    <row r="486" spans="2:7" x14ac:dyDescent="0.25">
      <c r="B486" s="2340" t="str">
        <f>+'[2]1. RIESGOS Y CONTROLES'!A199</f>
        <v>d</v>
      </c>
      <c r="C486" s="2341"/>
      <c r="D486" s="1103" t="str">
        <f>+'[2]1. RIESGOS Y CONTROLES'!B199</f>
        <v>z</v>
      </c>
      <c r="E486" s="1104"/>
      <c r="F486" s="1105"/>
      <c r="G486" s="1105"/>
    </row>
    <row r="487" spans="2:7" x14ac:dyDescent="0.25">
      <c r="B487" s="2340" t="str">
        <f>+'[2]1. RIESGOS Y CONTROLES'!A200</f>
        <v>d</v>
      </c>
      <c r="C487" s="2341"/>
      <c r="D487" s="1103" t="str">
        <f>+'[2]1. RIESGOS Y CONTROLES'!B200</f>
        <v>z</v>
      </c>
      <c r="E487" s="1104"/>
      <c r="F487" s="1105"/>
      <c r="G487" s="1105"/>
    </row>
    <row r="488" spans="2:7" x14ac:dyDescent="0.25">
      <c r="B488" s="2340" t="str">
        <f>+'[2]1. RIESGOS Y CONTROLES'!A201</f>
        <v>d</v>
      </c>
      <c r="C488" s="2341"/>
      <c r="D488" s="1103" t="str">
        <f>+'[2]1. RIESGOS Y CONTROLES'!B201</f>
        <v>z</v>
      </c>
      <c r="E488" s="1104"/>
      <c r="F488" s="1105"/>
      <c r="G488" s="1105"/>
    </row>
    <row r="489" spans="2:7" x14ac:dyDescent="0.25">
      <c r="B489" s="2340" t="str">
        <f>+'[2]1. RIESGOS Y CONTROLES'!A202</f>
        <v>d</v>
      </c>
      <c r="C489" s="2341"/>
      <c r="D489" s="1103" t="str">
        <f>+'[2]1. RIESGOS Y CONTROLES'!B202</f>
        <v>z</v>
      </c>
      <c r="E489" s="1104"/>
      <c r="F489" s="1105"/>
      <c r="G489" s="1105"/>
    </row>
    <row r="490" spans="2:7" x14ac:dyDescent="0.25">
      <c r="B490" s="2340" t="str">
        <f>+'[2]1. RIESGOS Y CONTROLES'!A203</f>
        <v>d</v>
      </c>
      <c r="C490" s="2341"/>
      <c r="D490" s="1103" t="str">
        <f>+'[2]1. RIESGOS Y CONTROLES'!B203</f>
        <v>z</v>
      </c>
      <c r="E490" s="1104"/>
      <c r="F490" s="1105"/>
      <c r="G490" s="1105"/>
    </row>
    <row r="491" spans="2:7" x14ac:dyDescent="0.25">
      <c r="B491" s="2340" t="str">
        <f>+'[2]1. RIESGOS Y CONTROLES'!A204</f>
        <v>d</v>
      </c>
      <c r="C491" s="2341"/>
      <c r="D491" s="1103" t="str">
        <f>+'[2]1. RIESGOS Y CONTROLES'!B204</f>
        <v>z</v>
      </c>
      <c r="E491" s="1104"/>
      <c r="F491" s="1105"/>
      <c r="G491" s="1105"/>
    </row>
    <row r="492" spans="2:7" x14ac:dyDescent="0.25">
      <c r="B492" s="2340" t="str">
        <f>+'[2]1. RIESGOS Y CONTROLES'!A205</f>
        <v>d</v>
      </c>
      <c r="C492" s="2341"/>
      <c r="D492" s="1103" t="str">
        <f>+'[2]1. RIESGOS Y CONTROLES'!B205</f>
        <v>z</v>
      </c>
      <c r="E492" s="1104"/>
      <c r="F492" s="1105"/>
      <c r="G492" s="1105"/>
    </row>
    <row r="493" spans="2:7" x14ac:dyDescent="0.25">
      <c r="B493" s="2340" t="str">
        <f>+'[2]1. RIESGOS Y CONTROLES'!A206</f>
        <v>d</v>
      </c>
      <c r="C493" s="2341"/>
      <c r="D493" s="1103" t="str">
        <f>+'[2]1. RIESGOS Y CONTROLES'!B206</f>
        <v>z</v>
      </c>
      <c r="E493" s="1104"/>
      <c r="F493" s="1105"/>
      <c r="G493" s="1105"/>
    </row>
    <row r="494" spans="2:7" x14ac:dyDescent="0.25">
      <c r="D494" s="1094"/>
    </row>
    <row r="495" spans="2:7" x14ac:dyDescent="0.25">
      <c r="D495" s="1094"/>
    </row>
    <row r="496" spans="2:7" x14ac:dyDescent="0.25">
      <c r="D496" s="1094"/>
    </row>
    <row r="497" spans="4:4" x14ac:dyDescent="0.25">
      <c r="D497" s="1094"/>
    </row>
    <row r="498" spans="4:4" x14ac:dyDescent="0.25">
      <c r="D498" s="1094"/>
    </row>
    <row r="499" spans="4:4" x14ac:dyDescent="0.25">
      <c r="D499" s="1094"/>
    </row>
    <row r="500" spans="4:4" x14ac:dyDescent="0.25">
      <c r="D500" s="1094"/>
    </row>
    <row r="501" spans="4:4" x14ac:dyDescent="0.25">
      <c r="D501" s="1094"/>
    </row>
    <row r="502" spans="4:4" x14ac:dyDescent="0.25">
      <c r="D502" s="1094"/>
    </row>
    <row r="503" spans="4:4" x14ac:dyDescent="0.25">
      <c r="D503" s="1094"/>
    </row>
    <row r="504" spans="4:4" x14ac:dyDescent="0.25">
      <c r="D504" s="1094"/>
    </row>
    <row r="505" spans="4:4" x14ac:dyDescent="0.25">
      <c r="D505" s="1094"/>
    </row>
    <row r="506" spans="4:4" x14ac:dyDescent="0.25">
      <c r="D506" s="1094"/>
    </row>
    <row r="507" spans="4:4" x14ac:dyDescent="0.25">
      <c r="D507" s="1094"/>
    </row>
    <row r="508" spans="4:4" x14ac:dyDescent="0.25">
      <c r="D508" s="1094"/>
    </row>
    <row r="509" spans="4:4" x14ac:dyDescent="0.25">
      <c r="D509" s="1094"/>
    </row>
    <row r="510" spans="4:4" x14ac:dyDescent="0.25">
      <c r="D510" s="1094"/>
    </row>
    <row r="511" spans="4:4" x14ac:dyDescent="0.25">
      <c r="D511" s="1094"/>
    </row>
    <row r="512" spans="4:4" x14ac:dyDescent="0.25">
      <c r="D512" s="1094"/>
    </row>
    <row r="513" spans="4:4" x14ac:dyDescent="0.25">
      <c r="D513" s="1094"/>
    </row>
    <row r="514" spans="4:4" x14ac:dyDescent="0.25">
      <c r="D514" s="1094"/>
    </row>
    <row r="515" spans="4:4" x14ac:dyDescent="0.25">
      <c r="D515" s="1094"/>
    </row>
    <row r="516" spans="4:4" x14ac:dyDescent="0.25">
      <c r="D516" s="1094"/>
    </row>
    <row r="517" spans="4:4" x14ac:dyDescent="0.25">
      <c r="D517" s="1094"/>
    </row>
    <row r="518" spans="4:4" x14ac:dyDescent="0.25">
      <c r="D518" s="1094"/>
    </row>
    <row r="519" spans="4:4" x14ac:dyDescent="0.25">
      <c r="D519" s="1094"/>
    </row>
    <row r="520" spans="4:4" x14ac:dyDescent="0.25">
      <c r="D520" s="1094"/>
    </row>
    <row r="521" spans="4:4" x14ac:dyDescent="0.25">
      <c r="D521" s="1094"/>
    </row>
    <row r="522" spans="4:4" x14ac:dyDescent="0.25">
      <c r="D522" s="1094"/>
    </row>
    <row r="523" spans="4:4" x14ac:dyDescent="0.25">
      <c r="D523" s="1094"/>
    </row>
    <row r="524" spans="4:4" x14ac:dyDescent="0.25">
      <c r="D524" s="1094"/>
    </row>
    <row r="525" spans="4:4" x14ac:dyDescent="0.25">
      <c r="D525" s="1094"/>
    </row>
    <row r="557" spans="2:23" s="1112" customFormat="1" x14ac:dyDescent="0.25">
      <c r="B557" s="1107"/>
      <c r="C557" s="1107"/>
      <c r="D557" s="1108"/>
      <c r="E557" s="1108"/>
      <c r="F557" s="1108"/>
      <c r="G557" s="1108"/>
      <c r="H557" s="1108"/>
      <c r="I557" s="1108"/>
      <c r="J557" s="1108"/>
      <c r="K557" s="1109"/>
      <c r="R557" s="1107"/>
      <c r="S557" s="1107"/>
      <c r="T557" s="1110"/>
      <c r="U557" s="1107"/>
      <c r="V557" s="1107"/>
      <c r="W557" s="1111"/>
    </row>
    <row r="558" spans="2:23" s="1112" customFormat="1" hidden="1" x14ac:dyDescent="0.25">
      <c r="B558" s="1106" t="s">
        <v>1600</v>
      </c>
      <c r="C558" s="1107"/>
      <c r="D558" s="1108"/>
      <c r="E558" s="1108"/>
      <c r="F558" s="1108"/>
      <c r="G558" s="1108"/>
      <c r="H558" s="1108"/>
      <c r="I558" s="1108"/>
      <c r="J558" s="1108"/>
      <c r="K558" s="1109"/>
      <c r="R558" s="1107"/>
      <c r="S558" s="1107"/>
      <c r="T558" s="1110"/>
      <c r="U558" s="1107"/>
      <c r="V558" s="1107"/>
      <c r="W558" s="1111"/>
    </row>
    <row r="559" spans="2:23" s="1112" customFormat="1" hidden="1" x14ac:dyDescent="0.25">
      <c r="B559" s="1113" t="s">
        <v>898</v>
      </c>
      <c r="C559" s="1107"/>
      <c r="D559" s="1108"/>
      <c r="E559" s="1108"/>
      <c r="F559" s="1108"/>
      <c r="G559" s="1108"/>
      <c r="H559" s="1108"/>
      <c r="I559" s="1108"/>
      <c r="J559" s="1108"/>
      <c r="K559" s="1109"/>
      <c r="R559" s="1107"/>
      <c r="S559" s="1107"/>
      <c r="T559" s="1110"/>
      <c r="U559" s="1107"/>
      <c r="V559" s="1107"/>
      <c r="W559" s="1111"/>
    </row>
    <row r="560" spans="2:23" s="1112" customFormat="1" hidden="1" x14ac:dyDescent="0.25">
      <c r="B560" s="1106"/>
      <c r="C560" s="1107"/>
      <c r="D560" s="1108"/>
      <c r="E560" s="1108"/>
      <c r="F560" s="1108"/>
      <c r="G560" s="1108"/>
      <c r="H560" s="1108"/>
      <c r="I560" s="1108"/>
      <c r="J560" s="1108"/>
      <c r="K560" s="1109"/>
      <c r="R560" s="1107"/>
      <c r="S560" s="1107"/>
      <c r="T560" s="1110"/>
      <c r="U560" s="1107"/>
      <c r="V560" s="1107"/>
      <c r="W560" s="1111"/>
    </row>
    <row r="561" spans="2:23" s="1112" customFormat="1" x14ac:dyDescent="0.25">
      <c r="B561" s="1107"/>
      <c r="C561" s="1107"/>
      <c r="D561" s="1108"/>
      <c r="E561" s="1108"/>
      <c r="F561" s="1108"/>
      <c r="G561" s="1108"/>
      <c r="H561" s="1108"/>
      <c r="I561" s="1108"/>
      <c r="J561" s="1108"/>
      <c r="K561" s="1109"/>
      <c r="R561" s="1107"/>
      <c r="S561" s="1107"/>
      <c r="T561" s="1110"/>
      <c r="U561" s="1107"/>
      <c r="V561" s="1107"/>
      <c r="W561" s="1111"/>
    </row>
  </sheetData>
  <sheetProtection algorithmName="SHA-512" hashValue="b3IQZEHxSNXXCLiHR9xgkDHTix/+CM+pCPBSd2BUG8HDw9uzWKrY2HURtI2WrUz6efgN+SAnComq72wFwTodzg==" saltValue="MUJuAXfXF1A+dUKgZ60W0Q==" spinCount="100000" sheet="1" objects="1" scenarios="1"/>
  <mergeCells count="93">
    <mergeCell ref="V22:V24"/>
    <mergeCell ref="U21:V21"/>
    <mergeCell ref="K16:K17"/>
    <mergeCell ref="O21:P21"/>
    <mergeCell ref="I18:J18"/>
    <mergeCell ref="N23:N24"/>
    <mergeCell ref="O23:O24"/>
    <mergeCell ref="H22:I22"/>
    <mergeCell ref="O16:Q16"/>
    <mergeCell ref="L18:M18"/>
    <mergeCell ref="L21:M21"/>
    <mergeCell ref="T23:T24"/>
    <mergeCell ref="U23:U24"/>
    <mergeCell ref="S22:S24"/>
    <mergeCell ref="T22:U22"/>
    <mergeCell ref="R21:S21"/>
    <mergeCell ref="Q22:R22"/>
    <mergeCell ref="Q23:Q24"/>
    <mergeCell ref="R23:R24"/>
    <mergeCell ref="B457:C457"/>
    <mergeCell ref="B458:C458"/>
    <mergeCell ref="J22:J24"/>
    <mergeCell ref="B456:C456"/>
    <mergeCell ref="H23:H24"/>
    <mergeCell ref="I23:I24"/>
    <mergeCell ref="B453:C453"/>
    <mergeCell ref="B454:C454"/>
    <mergeCell ref="B455:C455"/>
    <mergeCell ref="G16:G24"/>
    <mergeCell ref="B16:B24"/>
    <mergeCell ref="C16:C24"/>
    <mergeCell ref="D16:D24"/>
    <mergeCell ref="B474:C474"/>
    <mergeCell ref="B463:C463"/>
    <mergeCell ref="B464:C464"/>
    <mergeCell ref="B465:C465"/>
    <mergeCell ref="B466:C466"/>
    <mergeCell ref="B467:C467"/>
    <mergeCell ref="B468:C468"/>
    <mergeCell ref="B469:C469"/>
    <mergeCell ref="B470:C470"/>
    <mergeCell ref="B471:C471"/>
    <mergeCell ref="B472:C472"/>
    <mergeCell ref="B473:C473"/>
    <mergeCell ref="B486:C486"/>
    <mergeCell ref="B475:C475"/>
    <mergeCell ref="B476:C476"/>
    <mergeCell ref="B477:C477"/>
    <mergeCell ref="B478:C478"/>
    <mergeCell ref="B479:C479"/>
    <mergeCell ref="B480:C480"/>
    <mergeCell ref="B481:C481"/>
    <mergeCell ref="B482:C482"/>
    <mergeCell ref="B483:C483"/>
    <mergeCell ref="B484:C484"/>
    <mergeCell ref="B485:C485"/>
    <mergeCell ref="B493:C493"/>
    <mergeCell ref="B487:C487"/>
    <mergeCell ref="B488:C488"/>
    <mergeCell ref="B489:C489"/>
    <mergeCell ref="B490:C490"/>
    <mergeCell ref="B491:C491"/>
    <mergeCell ref="B492:C492"/>
    <mergeCell ref="L19:M20"/>
    <mergeCell ref="F16:F24"/>
    <mergeCell ref="H16:H17"/>
    <mergeCell ref="I16:J17"/>
    <mergeCell ref="H19:H21"/>
    <mergeCell ref="I19:J21"/>
    <mergeCell ref="K19:K20"/>
    <mergeCell ref="B462:C462"/>
    <mergeCell ref="E16:E24"/>
    <mergeCell ref="B459:C459"/>
    <mergeCell ref="B460:C460"/>
    <mergeCell ref="B461:C461"/>
    <mergeCell ref="P22:P24"/>
    <mergeCell ref="K22:L22"/>
    <mergeCell ref="M22:M24"/>
    <mergeCell ref="K23:K24"/>
    <mergeCell ref="L23:L24"/>
    <mergeCell ref="N22:O22"/>
    <mergeCell ref="B2:B3"/>
    <mergeCell ref="V2:V3"/>
    <mergeCell ref="C2:U3"/>
    <mergeCell ref="C5:F5"/>
    <mergeCell ref="L16:M17"/>
    <mergeCell ref="B14:W14"/>
    <mergeCell ref="C7:D7"/>
    <mergeCell ref="C8:D8"/>
    <mergeCell ref="S16:V16"/>
    <mergeCell ref="B11:B12"/>
    <mergeCell ref="D11:D12"/>
    <mergeCell ref="C9:D9"/>
  </mergeCells>
  <conditionalFormatting sqref="B2:C2">
    <cfRule type="cellIs" dxfId="61" priority="1" operator="equal">
      <formula>"ERROR"</formula>
    </cfRule>
  </conditionalFormatting>
  <conditionalFormatting sqref="D11:H12">
    <cfRule type="beginsWith" dxfId="60" priority="33" operator="beginsWith" text="PLAN ESTRATEGICO INSTITUCIONAL o CORPORATIVO">
      <formula>LEFT(D11,LEN("PLAN ESTRATEGICO INSTITUCIONAL o CORPORATIVO"))="PLAN ESTRATEGICO INSTITUCIONAL o CORPORATIVO"</formula>
    </cfRule>
  </conditionalFormatting>
  <conditionalFormatting sqref="E389:F389">
    <cfRule type="containsText" dxfId="59" priority="34" stopIfTrue="1" operator="containsText" text="Secretaría de Gestión del Riesgo">
      <formula>NOT(ISERROR(SEARCH("Secretaría de Gestión del Riesgo",E389)))</formula>
    </cfRule>
  </conditionalFormatting>
  <conditionalFormatting sqref="E11:H12">
    <cfRule type="cellIs" dxfId="58" priority="30" operator="between">
      <formula>""""""</formula>
      <formula>""""""</formula>
    </cfRule>
    <cfRule type="cellIs" dxfId="57" priority="31" operator="between">
      <formula>""""""</formula>
      <formula>""""""</formula>
    </cfRule>
  </conditionalFormatting>
  <conditionalFormatting sqref="I16:J17">
    <cfRule type="cellIs" dxfId="56" priority="5" operator="between">
      <formula>0.75</formula>
      <formula>1</formula>
    </cfRule>
    <cfRule type="cellIs" dxfId="55" priority="7" operator="between">
      <formula>0</formula>
      <formula>0.749</formula>
    </cfRule>
  </conditionalFormatting>
  <conditionalFormatting sqref="I18:J18">
    <cfRule type="containsText" dxfId="54" priority="2" operator="containsText" text="INEFICAZ">
      <formula>NOT(ISERROR(SEARCH("INEFICAZ",I18)))</formula>
    </cfRule>
    <cfRule type="containsText" dxfId="53" priority="3" operator="containsText" text="EFICAZ">
      <formula>NOT(ISERROR(SEARCH("EFICAZ",I18)))</formula>
    </cfRule>
  </conditionalFormatting>
  <conditionalFormatting sqref="L16:M17">
    <cfRule type="cellIs" dxfId="52" priority="10" operator="between">
      <formula>0.75</formula>
      <formula>1</formula>
    </cfRule>
    <cfRule type="cellIs" dxfId="51" priority="23" operator="between">
      <formula>0</formula>
      <formula>0.749</formula>
    </cfRule>
  </conditionalFormatting>
  <conditionalFormatting sqref="L18:M18">
    <cfRule type="containsText" dxfId="50" priority="8" operator="containsText" text="INEFICIENTE">
      <formula>NOT(ISERROR(SEARCH("INEFICIENTE",L18)))</formula>
    </cfRule>
    <cfRule type="containsText" dxfId="49" priority="9" operator="containsText" text="EFICIENTE">
      <formula>NOT(ISERROR(SEARCH("EFICIENTE",L18)))</formula>
    </cfRule>
  </conditionalFormatting>
  <conditionalFormatting sqref="P18:P19">
    <cfRule type="cellIs" dxfId="48" priority="16" operator="between">
      <formula>0</formula>
      <formula>74.99</formula>
    </cfRule>
  </conditionalFormatting>
  <conditionalFormatting sqref="P18:Q19">
    <cfRule type="containsText" dxfId="47" priority="12" operator="containsText" text="No Aplica">
      <formula>NOT(ISERROR(SEARCH("No Aplica",P18)))</formula>
    </cfRule>
  </conditionalFormatting>
  <conditionalFormatting sqref="Q18">
    <cfRule type="containsText" dxfId="46" priority="20" operator="containsText" text="INEFICAZ">
      <formula>NOT(ISERROR(SEARCH("INEFICAZ",Q18)))</formula>
    </cfRule>
    <cfRule type="containsText" dxfId="45" priority="21" operator="containsText" text="EFICAZ">
      <formula>NOT(ISERROR(SEARCH("EFICAZ",Q18)))</formula>
    </cfRule>
  </conditionalFormatting>
  <conditionalFormatting sqref="Q19">
    <cfRule type="containsText" dxfId="44" priority="18" operator="containsText" text="INEFICIENTE">
      <formula>NOT(ISERROR(SEARCH("INEFICIENTE",Q19)))</formula>
    </cfRule>
    <cfRule type="containsText" dxfId="43" priority="19" operator="containsText" text="EFICIENTE">
      <formula>NOT(ISERROR(SEARCH("EFICIENTE",Q19)))</formula>
    </cfRule>
  </conditionalFormatting>
  <dataValidations count="3">
    <dataValidation type="list" allowBlank="1" showInputMessage="1" showErrorMessage="1" sqref="D11:D12">
      <formula1>$B$558:$B$559</formula1>
    </dataValidation>
    <dataValidation type="whole" allowBlank="1" showInputMessage="1" showErrorMessage="1" sqref="WVT983125:WVT983438 JG25:JG334 TC25:TC334 ACY25:ACY334 AMU25:AMU334 AWQ25:AWQ334 BGM25:BGM334 BQI25:BQI334 CAE25:CAE334 CKA25:CKA334 CTW25:CTW334 DDS25:DDS334 DNO25:DNO334 DXK25:DXK334 EHG25:EHG334 ERC25:ERC334 FAY25:FAY334 FKU25:FKU334 FUQ25:FUQ334 GEM25:GEM334 GOI25:GOI334 GYE25:GYE334 HIA25:HIA334 HRW25:HRW334 IBS25:IBS334 ILO25:ILO334 IVK25:IVK334 JFG25:JFG334 JPC25:JPC334 JYY25:JYY334 KIU25:KIU334 KSQ25:KSQ334 LCM25:LCM334 LMI25:LMI334 LWE25:LWE334 MGA25:MGA334 MPW25:MPW334 MZS25:MZS334 NJO25:NJO334 NTK25:NTK334 ODG25:ODG334 ONC25:ONC334 OWY25:OWY334 PGU25:PGU334 PQQ25:PQQ334 QAM25:QAM334 QKI25:QKI334 QUE25:QUE334 REA25:REA334 RNW25:RNW334 RXS25:RXS334 SHO25:SHO334 SRK25:SRK334 TBG25:TBG334 TLC25:TLC334 TUY25:TUY334 UEU25:UEU334 UOQ25:UOQ334 UYM25:UYM334 VII25:VII334 VSE25:VSE334 WCA25:WCA334 WLW25:WLW334 WVS25:WVS334 JH65309:JH65618 TD65309:TD65618 ACZ65309:ACZ65618 AMV65309:AMV65618 AWR65309:AWR65618 BGN65309:BGN65618 BQJ65309:BQJ65618 CAF65309:CAF65618 CKB65309:CKB65618 CTX65309:CTX65618 DDT65309:DDT65618 DNP65309:DNP65618 DXL65309:DXL65618 EHH65309:EHH65618 ERD65309:ERD65618 FAZ65309:FAZ65618 FKV65309:FKV65618 FUR65309:FUR65618 GEN65309:GEN65618 GOJ65309:GOJ65618 GYF65309:GYF65618 HIB65309:HIB65618 HRX65309:HRX65618 IBT65309:IBT65618 ILP65309:ILP65618 IVL65309:IVL65618 JFH65309:JFH65618 JPD65309:JPD65618 JYZ65309:JYZ65618 KIV65309:KIV65618 KSR65309:KSR65618 LCN65309:LCN65618 LMJ65309:LMJ65618 LWF65309:LWF65618 MGB65309:MGB65618 MPX65309:MPX65618 MZT65309:MZT65618 NJP65309:NJP65618 NTL65309:NTL65618 ODH65309:ODH65618 OND65309:OND65618 OWZ65309:OWZ65618 PGV65309:PGV65618 PQR65309:PQR65618 QAN65309:QAN65618 QKJ65309:QKJ65618 QUF65309:QUF65618 REB65309:REB65618 RNX65309:RNX65618 RXT65309:RXT65618 SHP65309:SHP65618 SRL65309:SRL65618 TBH65309:TBH65618 TLD65309:TLD65618 TUZ65309:TUZ65618 UEV65309:UEV65618 UOR65309:UOR65618 UYN65309:UYN65618 VIJ65309:VIJ65618 VSF65309:VSF65618 WCB65309:WCB65618 WLX65309:WLX65618 WVT65309:WVT65618 JH130845:JH131154 TD130845:TD131154 ACZ130845:ACZ131154 AMV130845:AMV131154 AWR130845:AWR131154 BGN130845:BGN131154 BQJ130845:BQJ131154 CAF130845:CAF131154 CKB130845:CKB131154 CTX130845:CTX131154 DDT130845:DDT131154 DNP130845:DNP131154 DXL130845:DXL131154 EHH130845:EHH131154 ERD130845:ERD131154 FAZ130845:FAZ131154 FKV130845:FKV131154 FUR130845:FUR131154 GEN130845:GEN131154 GOJ130845:GOJ131154 GYF130845:GYF131154 HIB130845:HIB131154 HRX130845:HRX131154 IBT130845:IBT131154 ILP130845:ILP131154 IVL130845:IVL131154 JFH130845:JFH131154 JPD130845:JPD131154 JYZ130845:JYZ131154 KIV130845:KIV131154 KSR130845:KSR131154 LCN130845:LCN131154 LMJ130845:LMJ131154 LWF130845:LWF131154 MGB130845:MGB131154 MPX130845:MPX131154 MZT130845:MZT131154 NJP130845:NJP131154 NTL130845:NTL131154 ODH130845:ODH131154 OND130845:OND131154 OWZ130845:OWZ131154 PGV130845:PGV131154 PQR130845:PQR131154 QAN130845:QAN131154 QKJ130845:QKJ131154 QUF130845:QUF131154 REB130845:REB131154 RNX130845:RNX131154 RXT130845:RXT131154 SHP130845:SHP131154 SRL130845:SRL131154 TBH130845:TBH131154 TLD130845:TLD131154 TUZ130845:TUZ131154 UEV130845:UEV131154 UOR130845:UOR131154 UYN130845:UYN131154 VIJ130845:VIJ131154 VSF130845:VSF131154 WCB130845:WCB131154 WLX130845:WLX131154 WVT130845:WVT131154 JH196381:JH196690 TD196381:TD196690 ACZ196381:ACZ196690 AMV196381:AMV196690 AWR196381:AWR196690 BGN196381:BGN196690 BQJ196381:BQJ196690 CAF196381:CAF196690 CKB196381:CKB196690 CTX196381:CTX196690 DDT196381:DDT196690 DNP196381:DNP196690 DXL196381:DXL196690 EHH196381:EHH196690 ERD196381:ERD196690 FAZ196381:FAZ196690 FKV196381:FKV196690 FUR196381:FUR196690 GEN196381:GEN196690 GOJ196381:GOJ196690 GYF196381:GYF196690 HIB196381:HIB196690 HRX196381:HRX196690 IBT196381:IBT196690 ILP196381:ILP196690 IVL196381:IVL196690 JFH196381:JFH196690 JPD196381:JPD196690 JYZ196381:JYZ196690 KIV196381:KIV196690 KSR196381:KSR196690 LCN196381:LCN196690 LMJ196381:LMJ196690 LWF196381:LWF196690 MGB196381:MGB196690 MPX196381:MPX196690 MZT196381:MZT196690 NJP196381:NJP196690 NTL196381:NTL196690 ODH196381:ODH196690 OND196381:OND196690 OWZ196381:OWZ196690 PGV196381:PGV196690 PQR196381:PQR196690 QAN196381:QAN196690 QKJ196381:QKJ196690 QUF196381:QUF196690 REB196381:REB196690 RNX196381:RNX196690 RXT196381:RXT196690 SHP196381:SHP196690 SRL196381:SRL196690 TBH196381:TBH196690 TLD196381:TLD196690 TUZ196381:TUZ196690 UEV196381:UEV196690 UOR196381:UOR196690 UYN196381:UYN196690 VIJ196381:VIJ196690 VSF196381:VSF196690 WCB196381:WCB196690 WLX196381:WLX196690 WVT196381:WVT196690 JH261917:JH262226 TD261917:TD262226 ACZ261917:ACZ262226 AMV261917:AMV262226 AWR261917:AWR262226 BGN261917:BGN262226 BQJ261917:BQJ262226 CAF261917:CAF262226 CKB261917:CKB262226 CTX261917:CTX262226 DDT261917:DDT262226 DNP261917:DNP262226 DXL261917:DXL262226 EHH261917:EHH262226 ERD261917:ERD262226 FAZ261917:FAZ262226 FKV261917:FKV262226 FUR261917:FUR262226 GEN261917:GEN262226 GOJ261917:GOJ262226 GYF261917:GYF262226 HIB261917:HIB262226 HRX261917:HRX262226 IBT261917:IBT262226 ILP261917:ILP262226 IVL261917:IVL262226 JFH261917:JFH262226 JPD261917:JPD262226 JYZ261917:JYZ262226 KIV261917:KIV262226 KSR261917:KSR262226 LCN261917:LCN262226 LMJ261917:LMJ262226 LWF261917:LWF262226 MGB261917:MGB262226 MPX261917:MPX262226 MZT261917:MZT262226 NJP261917:NJP262226 NTL261917:NTL262226 ODH261917:ODH262226 OND261917:OND262226 OWZ261917:OWZ262226 PGV261917:PGV262226 PQR261917:PQR262226 QAN261917:QAN262226 QKJ261917:QKJ262226 QUF261917:QUF262226 REB261917:REB262226 RNX261917:RNX262226 RXT261917:RXT262226 SHP261917:SHP262226 SRL261917:SRL262226 TBH261917:TBH262226 TLD261917:TLD262226 TUZ261917:TUZ262226 UEV261917:UEV262226 UOR261917:UOR262226 UYN261917:UYN262226 VIJ261917:VIJ262226 VSF261917:VSF262226 WCB261917:WCB262226 WLX261917:WLX262226 WVT261917:WVT262226 JH327453:JH327762 TD327453:TD327762 ACZ327453:ACZ327762 AMV327453:AMV327762 AWR327453:AWR327762 BGN327453:BGN327762 BQJ327453:BQJ327762 CAF327453:CAF327762 CKB327453:CKB327762 CTX327453:CTX327762 DDT327453:DDT327762 DNP327453:DNP327762 DXL327453:DXL327762 EHH327453:EHH327762 ERD327453:ERD327762 FAZ327453:FAZ327762 FKV327453:FKV327762 FUR327453:FUR327762 GEN327453:GEN327762 GOJ327453:GOJ327762 GYF327453:GYF327762 HIB327453:HIB327762 HRX327453:HRX327762 IBT327453:IBT327762 ILP327453:ILP327762 IVL327453:IVL327762 JFH327453:JFH327762 JPD327453:JPD327762 JYZ327453:JYZ327762 KIV327453:KIV327762 KSR327453:KSR327762 LCN327453:LCN327762 LMJ327453:LMJ327762 LWF327453:LWF327762 MGB327453:MGB327762 MPX327453:MPX327762 MZT327453:MZT327762 NJP327453:NJP327762 NTL327453:NTL327762 ODH327453:ODH327762 OND327453:OND327762 OWZ327453:OWZ327762 PGV327453:PGV327762 PQR327453:PQR327762 QAN327453:QAN327762 QKJ327453:QKJ327762 QUF327453:QUF327762 REB327453:REB327762 RNX327453:RNX327762 RXT327453:RXT327762 SHP327453:SHP327762 SRL327453:SRL327762 TBH327453:TBH327762 TLD327453:TLD327762 TUZ327453:TUZ327762 UEV327453:UEV327762 UOR327453:UOR327762 UYN327453:UYN327762 VIJ327453:VIJ327762 VSF327453:VSF327762 WCB327453:WCB327762 WLX327453:WLX327762 WVT327453:WVT327762 JH392989:JH393298 TD392989:TD393298 ACZ392989:ACZ393298 AMV392989:AMV393298 AWR392989:AWR393298 BGN392989:BGN393298 BQJ392989:BQJ393298 CAF392989:CAF393298 CKB392989:CKB393298 CTX392989:CTX393298 DDT392989:DDT393298 DNP392989:DNP393298 DXL392989:DXL393298 EHH392989:EHH393298 ERD392989:ERD393298 FAZ392989:FAZ393298 FKV392989:FKV393298 FUR392989:FUR393298 GEN392989:GEN393298 GOJ392989:GOJ393298 GYF392989:GYF393298 HIB392989:HIB393298 HRX392989:HRX393298 IBT392989:IBT393298 ILP392989:ILP393298 IVL392989:IVL393298 JFH392989:JFH393298 JPD392989:JPD393298 JYZ392989:JYZ393298 KIV392989:KIV393298 KSR392989:KSR393298 LCN392989:LCN393298 LMJ392989:LMJ393298 LWF392989:LWF393298 MGB392989:MGB393298 MPX392989:MPX393298 MZT392989:MZT393298 NJP392989:NJP393298 NTL392989:NTL393298 ODH392989:ODH393298 OND392989:OND393298 OWZ392989:OWZ393298 PGV392989:PGV393298 PQR392989:PQR393298 QAN392989:QAN393298 QKJ392989:QKJ393298 QUF392989:QUF393298 REB392989:REB393298 RNX392989:RNX393298 RXT392989:RXT393298 SHP392989:SHP393298 SRL392989:SRL393298 TBH392989:TBH393298 TLD392989:TLD393298 TUZ392989:TUZ393298 UEV392989:UEV393298 UOR392989:UOR393298 UYN392989:UYN393298 VIJ392989:VIJ393298 VSF392989:VSF393298 WCB392989:WCB393298 WLX392989:WLX393298 WVT392989:WVT393298 JH458525:JH458834 TD458525:TD458834 ACZ458525:ACZ458834 AMV458525:AMV458834 AWR458525:AWR458834 BGN458525:BGN458834 BQJ458525:BQJ458834 CAF458525:CAF458834 CKB458525:CKB458834 CTX458525:CTX458834 DDT458525:DDT458834 DNP458525:DNP458834 DXL458525:DXL458834 EHH458525:EHH458834 ERD458525:ERD458834 FAZ458525:FAZ458834 FKV458525:FKV458834 FUR458525:FUR458834 GEN458525:GEN458834 GOJ458525:GOJ458834 GYF458525:GYF458834 HIB458525:HIB458834 HRX458525:HRX458834 IBT458525:IBT458834 ILP458525:ILP458834 IVL458525:IVL458834 JFH458525:JFH458834 JPD458525:JPD458834 JYZ458525:JYZ458834 KIV458525:KIV458834 KSR458525:KSR458834 LCN458525:LCN458834 LMJ458525:LMJ458834 LWF458525:LWF458834 MGB458525:MGB458834 MPX458525:MPX458834 MZT458525:MZT458834 NJP458525:NJP458834 NTL458525:NTL458834 ODH458525:ODH458834 OND458525:OND458834 OWZ458525:OWZ458834 PGV458525:PGV458834 PQR458525:PQR458834 QAN458525:QAN458834 QKJ458525:QKJ458834 QUF458525:QUF458834 REB458525:REB458834 RNX458525:RNX458834 RXT458525:RXT458834 SHP458525:SHP458834 SRL458525:SRL458834 TBH458525:TBH458834 TLD458525:TLD458834 TUZ458525:TUZ458834 UEV458525:UEV458834 UOR458525:UOR458834 UYN458525:UYN458834 VIJ458525:VIJ458834 VSF458525:VSF458834 WCB458525:WCB458834 WLX458525:WLX458834 WVT458525:WVT458834 JH524061:JH524370 TD524061:TD524370 ACZ524061:ACZ524370 AMV524061:AMV524370 AWR524061:AWR524370 BGN524061:BGN524370 BQJ524061:BQJ524370 CAF524061:CAF524370 CKB524061:CKB524370 CTX524061:CTX524370 DDT524061:DDT524370 DNP524061:DNP524370 DXL524061:DXL524370 EHH524061:EHH524370 ERD524061:ERD524370 FAZ524061:FAZ524370 FKV524061:FKV524370 FUR524061:FUR524370 GEN524061:GEN524370 GOJ524061:GOJ524370 GYF524061:GYF524370 HIB524061:HIB524370 HRX524061:HRX524370 IBT524061:IBT524370 ILP524061:ILP524370 IVL524061:IVL524370 JFH524061:JFH524370 JPD524061:JPD524370 JYZ524061:JYZ524370 KIV524061:KIV524370 KSR524061:KSR524370 LCN524061:LCN524370 LMJ524061:LMJ524370 LWF524061:LWF524370 MGB524061:MGB524370 MPX524061:MPX524370 MZT524061:MZT524370 NJP524061:NJP524370 NTL524061:NTL524370 ODH524061:ODH524370 OND524061:OND524370 OWZ524061:OWZ524370 PGV524061:PGV524370 PQR524061:PQR524370 QAN524061:QAN524370 QKJ524061:QKJ524370 QUF524061:QUF524370 REB524061:REB524370 RNX524061:RNX524370 RXT524061:RXT524370 SHP524061:SHP524370 SRL524061:SRL524370 TBH524061:TBH524370 TLD524061:TLD524370 TUZ524061:TUZ524370 UEV524061:UEV524370 UOR524061:UOR524370 UYN524061:UYN524370 VIJ524061:VIJ524370 VSF524061:VSF524370 WCB524061:WCB524370 WLX524061:WLX524370 WVT524061:WVT524370 JH589597:JH589906 TD589597:TD589906 ACZ589597:ACZ589906 AMV589597:AMV589906 AWR589597:AWR589906 BGN589597:BGN589906 BQJ589597:BQJ589906 CAF589597:CAF589906 CKB589597:CKB589906 CTX589597:CTX589906 DDT589597:DDT589906 DNP589597:DNP589906 DXL589597:DXL589906 EHH589597:EHH589906 ERD589597:ERD589906 FAZ589597:FAZ589906 FKV589597:FKV589906 FUR589597:FUR589906 GEN589597:GEN589906 GOJ589597:GOJ589906 GYF589597:GYF589906 HIB589597:HIB589906 HRX589597:HRX589906 IBT589597:IBT589906 ILP589597:ILP589906 IVL589597:IVL589906 JFH589597:JFH589906 JPD589597:JPD589906 JYZ589597:JYZ589906 KIV589597:KIV589906 KSR589597:KSR589906 LCN589597:LCN589906 LMJ589597:LMJ589906 LWF589597:LWF589906 MGB589597:MGB589906 MPX589597:MPX589906 MZT589597:MZT589906 NJP589597:NJP589906 NTL589597:NTL589906 ODH589597:ODH589906 OND589597:OND589906 OWZ589597:OWZ589906 PGV589597:PGV589906 PQR589597:PQR589906 QAN589597:QAN589906 QKJ589597:QKJ589906 QUF589597:QUF589906 REB589597:REB589906 RNX589597:RNX589906 RXT589597:RXT589906 SHP589597:SHP589906 SRL589597:SRL589906 TBH589597:TBH589906 TLD589597:TLD589906 TUZ589597:TUZ589906 UEV589597:UEV589906 UOR589597:UOR589906 UYN589597:UYN589906 VIJ589597:VIJ589906 VSF589597:VSF589906 WCB589597:WCB589906 WLX589597:WLX589906 WVT589597:WVT589906 JH655133:JH655442 TD655133:TD655442 ACZ655133:ACZ655442 AMV655133:AMV655442 AWR655133:AWR655442 BGN655133:BGN655442 BQJ655133:BQJ655442 CAF655133:CAF655442 CKB655133:CKB655442 CTX655133:CTX655442 DDT655133:DDT655442 DNP655133:DNP655442 DXL655133:DXL655442 EHH655133:EHH655442 ERD655133:ERD655442 FAZ655133:FAZ655442 FKV655133:FKV655442 FUR655133:FUR655442 GEN655133:GEN655442 GOJ655133:GOJ655442 GYF655133:GYF655442 HIB655133:HIB655442 HRX655133:HRX655442 IBT655133:IBT655442 ILP655133:ILP655442 IVL655133:IVL655442 JFH655133:JFH655442 JPD655133:JPD655442 JYZ655133:JYZ655442 KIV655133:KIV655442 KSR655133:KSR655442 LCN655133:LCN655442 LMJ655133:LMJ655442 LWF655133:LWF655442 MGB655133:MGB655442 MPX655133:MPX655442 MZT655133:MZT655442 NJP655133:NJP655442 NTL655133:NTL655442 ODH655133:ODH655442 OND655133:OND655442 OWZ655133:OWZ655442 PGV655133:PGV655442 PQR655133:PQR655442 QAN655133:QAN655442 QKJ655133:QKJ655442 QUF655133:QUF655442 REB655133:REB655442 RNX655133:RNX655442 RXT655133:RXT655442 SHP655133:SHP655442 SRL655133:SRL655442 TBH655133:TBH655442 TLD655133:TLD655442 TUZ655133:TUZ655442 UEV655133:UEV655442 UOR655133:UOR655442 UYN655133:UYN655442 VIJ655133:VIJ655442 VSF655133:VSF655442 WCB655133:WCB655442 WLX655133:WLX655442 WVT655133:WVT655442 JH720669:JH720978 TD720669:TD720978 ACZ720669:ACZ720978 AMV720669:AMV720978 AWR720669:AWR720978 BGN720669:BGN720978 BQJ720669:BQJ720978 CAF720669:CAF720978 CKB720669:CKB720978 CTX720669:CTX720978 DDT720669:DDT720978 DNP720669:DNP720978 DXL720669:DXL720978 EHH720669:EHH720978 ERD720669:ERD720978 FAZ720669:FAZ720978 FKV720669:FKV720978 FUR720669:FUR720978 GEN720669:GEN720978 GOJ720669:GOJ720978 GYF720669:GYF720978 HIB720669:HIB720978 HRX720669:HRX720978 IBT720669:IBT720978 ILP720669:ILP720978 IVL720669:IVL720978 JFH720669:JFH720978 JPD720669:JPD720978 JYZ720669:JYZ720978 KIV720669:KIV720978 KSR720669:KSR720978 LCN720669:LCN720978 LMJ720669:LMJ720978 LWF720669:LWF720978 MGB720669:MGB720978 MPX720669:MPX720978 MZT720669:MZT720978 NJP720669:NJP720978 NTL720669:NTL720978 ODH720669:ODH720978 OND720669:OND720978 OWZ720669:OWZ720978 PGV720669:PGV720978 PQR720669:PQR720978 QAN720669:QAN720978 QKJ720669:QKJ720978 QUF720669:QUF720978 REB720669:REB720978 RNX720669:RNX720978 RXT720669:RXT720978 SHP720669:SHP720978 SRL720669:SRL720978 TBH720669:TBH720978 TLD720669:TLD720978 TUZ720669:TUZ720978 UEV720669:UEV720978 UOR720669:UOR720978 UYN720669:UYN720978 VIJ720669:VIJ720978 VSF720669:VSF720978 WCB720669:WCB720978 WLX720669:WLX720978 WVT720669:WVT720978 JH786205:JH786514 TD786205:TD786514 ACZ786205:ACZ786514 AMV786205:AMV786514 AWR786205:AWR786514 BGN786205:BGN786514 BQJ786205:BQJ786514 CAF786205:CAF786514 CKB786205:CKB786514 CTX786205:CTX786514 DDT786205:DDT786514 DNP786205:DNP786514 DXL786205:DXL786514 EHH786205:EHH786514 ERD786205:ERD786514 FAZ786205:FAZ786514 FKV786205:FKV786514 FUR786205:FUR786514 GEN786205:GEN786514 GOJ786205:GOJ786514 GYF786205:GYF786514 HIB786205:HIB786514 HRX786205:HRX786514 IBT786205:IBT786514 ILP786205:ILP786514 IVL786205:IVL786514 JFH786205:JFH786514 JPD786205:JPD786514 JYZ786205:JYZ786514 KIV786205:KIV786514 KSR786205:KSR786514 LCN786205:LCN786514 LMJ786205:LMJ786514 LWF786205:LWF786514 MGB786205:MGB786514 MPX786205:MPX786514 MZT786205:MZT786514 NJP786205:NJP786514 NTL786205:NTL786514 ODH786205:ODH786514 OND786205:OND786514 OWZ786205:OWZ786514 PGV786205:PGV786514 PQR786205:PQR786514 QAN786205:QAN786514 QKJ786205:QKJ786514 QUF786205:QUF786514 REB786205:REB786514 RNX786205:RNX786514 RXT786205:RXT786514 SHP786205:SHP786514 SRL786205:SRL786514 TBH786205:TBH786514 TLD786205:TLD786514 TUZ786205:TUZ786514 UEV786205:UEV786514 UOR786205:UOR786514 UYN786205:UYN786514 VIJ786205:VIJ786514 VSF786205:VSF786514 WCB786205:WCB786514 WLX786205:WLX786514 WVT786205:WVT786514 JH851741:JH852050 TD851741:TD852050 ACZ851741:ACZ852050 AMV851741:AMV852050 AWR851741:AWR852050 BGN851741:BGN852050 BQJ851741:BQJ852050 CAF851741:CAF852050 CKB851741:CKB852050 CTX851741:CTX852050 DDT851741:DDT852050 DNP851741:DNP852050 DXL851741:DXL852050 EHH851741:EHH852050 ERD851741:ERD852050 FAZ851741:FAZ852050 FKV851741:FKV852050 FUR851741:FUR852050 GEN851741:GEN852050 GOJ851741:GOJ852050 GYF851741:GYF852050 HIB851741:HIB852050 HRX851741:HRX852050 IBT851741:IBT852050 ILP851741:ILP852050 IVL851741:IVL852050 JFH851741:JFH852050 JPD851741:JPD852050 JYZ851741:JYZ852050 KIV851741:KIV852050 KSR851741:KSR852050 LCN851741:LCN852050 LMJ851741:LMJ852050 LWF851741:LWF852050 MGB851741:MGB852050 MPX851741:MPX852050 MZT851741:MZT852050 NJP851741:NJP852050 NTL851741:NTL852050 ODH851741:ODH852050 OND851741:OND852050 OWZ851741:OWZ852050 PGV851741:PGV852050 PQR851741:PQR852050 QAN851741:QAN852050 QKJ851741:QKJ852050 QUF851741:QUF852050 REB851741:REB852050 RNX851741:RNX852050 RXT851741:RXT852050 SHP851741:SHP852050 SRL851741:SRL852050 TBH851741:TBH852050 TLD851741:TLD852050 TUZ851741:TUZ852050 UEV851741:UEV852050 UOR851741:UOR852050 UYN851741:UYN852050 VIJ851741:VIJ852050 VSF851741:VSF852050 WCB851741:WCB852050 WLX851741:WLX852050 WVT851741:WVT852050 JH917277:JH917586 TD917277:TD917586 ACZ917277:ACZ917586 AMV917277:AMV917586 AWR917277:AWR917586 BGN917277:BGN917586 BQJ917277:BQJ917586 CAF917277:CAF917586 CKB917277:CKB917586 CTX917277:CTX917586 DDT917277:DDT917586 DNP917277:DNP917586 DXL917277:DXL917586 EHH917277:EHH917586 ERD917277:ERD917586 FAZ917277:FAZ917586 FKV917277:FKV917586 FUR917277:FUR917586 GEN917277:GEN917586 GOJ917277:GOJ917586 GYF917277:GYF917586 HIB917277:HIB917586 HRX917277:HRX917586 IBT917277:IBT917586 ILP917277:ILP917586 IVL917277:IVL917586 JFH917277:JFH917586 JPD917277:JPD917586 JYZ917277:JYZ917586 KIV917277:KIV917586 KSR917277:KSR917586 LCN917277:LCN917586 LMJ917277:LMJ917586 LWF917277:LWF917586 MGB917277:MGB917586 MPX917277:MPX917586 MZT917277:MZT917586 NJP917277:NJP917586 NTL917277:NTL917586 ODH917277:ODH917586 OND917277:OND917586 OWZ917277:OWZ917586 PGV917277:PGV917586 PQR917277:PQR917586 QAN917277:QAN917586 QKJ917277:QKJ917586 QUF917277:QUF917586 REB917277:REB917586 RNX917277:RNX917586 RXT917277:RXT917586 SHP917277:SHP917586 SRL917277:SRL917586 TBH917277:TBH917586 TLD917277:TLD917586 TUZ917277:TUZ917586 UEV917277:UEV917586 UOR917277:UOR917586 UYN917277:UYN917586 VIJ917277:VIJ917586 VSF917277:VSF917586 WCB917277:WCB917586 WLX917277:WLX917586 WVT917277:WVT917586 JH982813:JH983122 TD982813:TD983122 ACZ982813:ACZ983122 AMV982813:AMV983122 AWR982813:AWR983122 BGN982813:BGN983122 BQJ982813:BQJ983122 CAF982813:CAF983122 CKB982813:CKB983122 CTX982813:CTX983122 DDT982813:DDT983122 DNP982813:DNP983122 DXL982813:DXL983122 EHH982813:EHH983122 ERD982813:ERD983122 FAZ982813:FAZ983122 FKV982813:FKV983122 FUR982813:FUR983122 GEN982813:GEN983122 GOJ982813:GOJ983122 GYF982813:GYF983122 HIB982813:HIB983122 HRX982813:HRX983122 IBT982813:IBT983122 ILP982813:ILP983122 IVL982813:IVL983122 JFH982813:JFH983122 JPD982813:JPD983122 JYZ982813:JYZ983122 KIV982813:KIV983122 KSR982813:KSR983122 LCN982813:LCN983122 LMJ982813:LMJ983122 LWF982813:LWF983122 MGB982813:MGB983122 MPX982813:MPX983122 MZT982813:MZT983122 NJP982813:NJP983122 NTL982813:NTL983122 ODH982813:ODH983122 OND982813:OND983122 OWZ982813:OWZ983122 PGV982813:PGV983122 PQR982813:PQR983122 QAN982813:QAN983122 QKJ982813:QKJ983122 QUF982813:QUF983122 REB982813:REB983122 RNX982813:RNX983122 RXT982813:RXT983122 SHP982813:SHP983122 SRL982813:SRL983122 TBH982813:TBH983122 TLD982813:TLD983122 TUZ982813:TUZ983122 UEV982813:UEV983122 UOR982813:UOR983122 UYN982813:UYN983122 VIJ982813:VIJ983122 VSF982813:VSF983122 WCB982813:WCB983122 WLX982813:WLX983122 WVT982813:WVT983122 JH65621:JH65934 TD65621:TD65934 ACZ65621:ACZ65934 AMV65621:AMV65934 AWR65621:AWR65934 BGN65621:BGN65934 BQJ65621:BQJ65934 CAF65621:CAF65934 CKB65621:CKB65934 CTX65621:CTX65934 DDT65621:DDT65934 DNP65621:DNP65934 DXL65621:DXL65934 EHH65621:EHH65934 ERD65621:ERD65934 FAZ65621:FAZ65934 FKV65621:FKV65934 FUR65621:FUR65934 GEN65621:GEN65934 GOJ65621:GOJ65934 GYF65621:GYF65934 HIB65621:HIB65934 HRX65621:HRX65934 IBT65621:IBT65934 ILP65621:ILP65934 IVL65621:IVL65934 JFH65621:JFH65934 JPD65621:JPD65934 JYZ65621:JYZ65934 KIV65621:KIV65934 KSR65621:KSR65934 LCN65621:LCN65934 LMJ65621:LMJ65934 LWF65621:LWF65934 MGB65621:MGB65934 MPX65621:MPX65934 MZT65621:MZT65934 NJP65621:NJP65934 NTL65621:NTL65934 ODH65621:ODH65934 OND65621:OND65934 OWZ65621:OWZ65934 PGV65621:PGV65934 PQR65621:PQR65934 QAN65621:QAN65934 QKJ65621:QKJ65934 QUF65621:QUF65934 REB65621:REB65934 RNX65621:RNX65934 RXT65621:RXT65934 SHP65621:SHP65934 SRL65621:SRL65934 TBH65621:TBH65934 TLD65621:TLD65934 TUZ65621:TUZ65934 UEV65621:UEV65934 UOR65621:UOR65934 UYN65621:UYN65934 VIJ65621:VIJ65934 VSF65621:VSF65934 WCB65621:WCB65934 WLX65621:WLX65934 WVT65621:WVT65934 JH131157:JH131470 TD131157:TD131470 ACZ131157:ACZ131470 AMV131157:AMV131470 AWR131157:AWR131470 BGN131157:BGN131470 BQJ131157:BQJ131470 CAF131157:CAF131470 CKB131157:CKB131470 CTX131157:CTX131470 DDT131157:DDT131470 DNP131157:DNP131470 DXL131157:DXL131470 EHH131157:EHH131470 ERD131157:ERD131470 FAZ131157:FAZ131470 FKV131157:FKV131470 FUR131157:FUR131470 GEN131157:GEN131470 GOJ131157:GOJ131470 GYF131157:GYF131470 HIB131157:HIB131470 HRX131157:HRX131470 IBT131157:IBT131470 ILP131157:ILP131470 IVL131157:IVL131470 JFH131157:JFH131470 JPD131157:JPD131470 JYZ131157:JYZ131470 KIV131157:KIV131470 KSR131157:KSR131470 LCN131157:LCN131470 LMJ131157:LMJ131470 LWF131157:LWF131470 MGB131157:MGB131470 MPX131157:MPX131470 MZT131157:MZT131470 NJP131157:NJP131470 NTL131157:NTL131470 ODH131157:ODH131470 OND131157:OND131470 OWZ131157:OWZ131470 PGV131157:PGV131470 PQR131157:PQR131470 QAN131157:QAN131470 QKJ131157:QKJ131470 QUF131157:QUF131470 REB131157:REB131470 RNX131157:RNX131470 RXT131157:RXT131470 SHP131157:SHP131470 SRL131157:SRL131470 TBH131157:TBH131470 TLD131157:TLD131470 TUZ131157:TUZ131470 UEV131157:UEV131470 UOR131157:UOR131470 UYN131157:UYN131470 VIJ131157:VIJ131470 VSF131157:VSF131470 WCB131157:WCB131470 WLX131157:WLX131470 WVT131157:WVT131470 JH196693:JH197006 TD196693:TD197006 ACZ196693:ACZ197006 AMV196693:AMV197006 AWR196693:AWR197006 BGN196693:BGN197006 BQJ196693:BQJ197006 CAF196693:CAF197006 CKB196693:CKB197006 CTX196693:CTX197006 DDT196693:DDT197006 DNP196693:DNP197006 DXL196693:DXL197006 EHH196693:EHH197006 ERD196693:ERD197006 FAZ196693:FAZ197006 FKV196693:FKV197006 FUR196693:FUR197006 GEN196693:GEN197006 GOJ196693:GOJ197006 GYF196693:GYF197006 HIB196693:HIB197006 HRX196693:HRX197006 IBT196693:IBT197006 ILP196693:ILP197006 IVL196693:IVL197006 JFH196693:JFH197006 JPD196693:JPD197006 JYZ196693:JYZ197006 KIV196693:KIV197006 KSR196693:KSR197006 LCN196693:LCN197006 LMJ196693:LMJ197006 LWF196693:LWF197006 MGB196693:MGB197006 MPX196693:MPX197006 MZT196693:MZT197006 NJP196693:NJP197006 NTL196693:NTL197006 ODH196693:ODH197006 OND196693:OND197006 OWZ196693:OWZ197006 PGV196693:PGV197006 PQR196693:PQR197006 QAN196693:QAN197006 QKJ196693:QKJ197006 QUF196693:QUF197006 REB196693:REB197006 RNX196693:RNX197006 RXT196693:RXT197006 SHP196693:SHP197006 SRL196693:SRL197006 TBH196693:TBH197006 TLD196693:TLD197006 TUZ196693:TUZ197006 UEV196693:UEV197006 UOR196693:UOR197006 UYN196693:UYN197006 VIJ196693:VIJ197006 VSF196693:VSF197006 WCB196693:WCB197006 WLX196693:WLX197006 WVT196693:WVT197006 JH262229:JH262542 TD262229:TD262542 ACZ262229:ACZ262542 AMV262229:AMV262542 AWR262229:AWR262542 BGN262229:BGN262542 BQJ262229:BQJ262542 CAF262229:CAF262542 CKB262229:CKB262542 CTX262229:CTX262542 DDT262229:DDT262542 DNP262229:DNP262542 DXL262229:DXL262542 EHH262229:EHH262542 ERD262229:ERD262542 FAZ262229:FAZ262542 FKV262229:FKV262542 FUR262229:FUR262542 GEN262229:GEN262542 GOJ262229:GOJ262542 GYF262229:GYF262542 HIB262229:HIB262542 HRX262229:HRX262542 IBT262229:IBT262542 ILP262229:ILP262542 IVL262229:IVL262542 JFH262229:JFH262542 JPD262229:JPD262542 JYZ262229:JYZ262542 KIV262229:KIV262542 KSR262229:KSR262542 LCN262229:LCN262542 LMJ262229:LMJ262542 LWF262229:LWF262542 MGB262229:MGB262542 MPX262229:MPX262542 MZT262229:MZT262542 NJP262229:NJP262542 NTL262229:NTL262542 ODH262229:ODH262542 OND262229:OND262542 OWZ262229:OWZ262542 PGV262229:PGV262542 PQR262229:PQR262542 QAN262229:QAN262542 QKJ262229:QKJ262542 QUF262229:QUF262542 REB262229:REB262542 RNX262229:RNX262542 RXT262229:RXT262542 SHP262229:SHP262542 SRL262229:SRL262542 TBH262229:TBH262542 TLD262229:TLD262542 TUZ262229:TUZ262542 UEV262229:UEV262542 UOR262229:UOR262542 UYN262229:UYN262542 VIJ262229:VIJ262542 VSF262229:VSF262542 WCB262229:WCB262542 WLX262229:WLX262542 WVT262229:WVT262542 JH327765:JH328078 TD327765:TD328078 ACZ327765:ACZ328078 AMV327765:AMV328078 AWR327765:AWR328078 BGN327765:BGN328078 BQJ327765:BQJ328078 CAF327765:CAF328078 CKB327765:CKB328078 CTX327765:CTX328078 DDT327765:DDT328078 DNP327765:DNP328078 DXL327765:DXL328078 EHH327765:EHH328078 ERD327765:ERD328078 FAZ327765:FAZ328078 FKV327765:FKV328078 FUR327765:FUR328078 GEN327765:GEN328078 GOJ327765:GOJ328078 GYF327765:GYF328078 HIB327765:HIB328078 HRX327765:HRX328078 IBT327765:IBT328078 ILP327765:ILP328078 IVL327765:IVL328078 JFH327765:JFH328078 JPD327765:JPD328078 JYZ327765:JYZ328078 KIV327765:KIV328078 KSR327765:KSR328078 LCN327765:LCN328078 LMJ327765:LMJ328078 LWF327765:LWF328078 MGB327765:MGB328078 MPX327765:MPX328078 MZT327765:MZT328078 NJP327765:NJP328078 NTL327765:NTL328078 ODH327765:ODH328078 OND327765:OND328078 OWZ327765:OWZ328078 PGV327765:PGV328078 PQR327765:PQR328078 QAN327765:QAN328078 QKJ327765:QKJ328078 QUF327765:QUF328078 REB327765:REB328078 RNX327765:RNX328078 RXT327765:RXT328078 SHP327765:SHP328078 SRL327765:SRL328078 TBH327765:TBH328078 TLD327765:TLD328078 TUZ327765:TUZ328078 UEV327765:UEV328078 UOR327765:UOR328078 UYN327765:UYN328078 VIJ327765:VIJ328078 VSF327765:VSF328078 WCB327765:WCB328078 WLX327765:WLX328078 WVT327765:WVT328078 JH393301:JH393614 TD393301:TD393614 ACZ393301:ACZ393614 AMV393301:AMV393614 AWR393301:AWR393614 BGN393301:BGN393614 BQJ393301:BQJ393614 CAF393301:CAF393614 CKB393301:CKB393614 CTX393301:CTX393614 DDT393301:DDT393614 DNP393301:DNP393614 DXL393301:DXL393614 EHH393301:EHH393614 ERD393301:ERD393614 FAZ393301:FAZ393614 FKV393301:FKV393614 FUR393301:FUR393614 GEN393301:GEN393614 GOJ393301:GOJ393614 GYF393301:GYF393614 HIB393301:HIB393614 HRX393301:HRX393614 IBT393301:IBT393614 ILP393301:ILP393614 IVL393301:IVL393614 JFH393301:JFH393614 JPD393301:JPD393614 JYZ393301:JYZ393614 KIV393301:KIV393614 KSR393301:KSR393614 LCN393301:LCN393614 LMJ393301:LMJ393614 LWF393301:LWF393614 MGB393301:MGB393614 MPX393301:MPX393614 MZT393301:MZT393614 NJP393301:NJP393614 NTL393301:NTL393614 ODH393301:ODH393614 OND393301:OND393614 OWZ393301:OWZ393614 PGV393301:PGV393614 PQR393301:PQR393614 QAN393301:QAN393614 QKJ393301:QKJ393614 QUF393301:QUF393614 REB393301:REB393614 RNX393301:RNX393614 RXT393301:RXT393614 SHP393301:SHP393614 SRL393301:SRL393614 TBH393301:TBH393614 TLD393301:TLD393614 TUZ393301:TUZ393614 UEV393301:UEV393614 UOR393301:UOR393614 UYN393301:UYN393614 VIJ393301:VIJ393614 VSF393301:VSF393614 WCB393301:WCB393614 WLX393301:WLX393614 WVT393301:WVT393614 JH458837:JH459150 TD458837:TD459150 ACZ458837:ACZ459150 AMV458837:AMV459150 AWR458837:AWR459150 BGN458837:BGN459150 BQJ458837:BQJ459150 CAF458837:CAF459150 CKB458837:CKB459150 CTX458837:CTX459150 DDT458837:DDT459150 DNP458837:DNP459150 DXL458837:DXL459150 EHH458837:EHH459150 ERD458837:ERD459150 FAZ458837:FAZ459150 FKV458837:FKV459150 FUR458837:FUR459150 GEN458837:GEN459150 GOJ458837:GOJ459150 GYF458837:GYF459150 HIB458837:HIB459150 HRX458837:HRX459150 IBT458837:IBT459150 ILP458837:ILP459150 IVL458837:IVL459150 JFH458837:JFH459150 JPD458837:JPD459150 JYZ458837:JYZ459150 KIV458837:KIV459150 KSR458837:KSR459150 LCN458837:LCN459150 LMJ458837:LMJ459150 LWF458837:LWF459150 MGB458837:MGB459150 MPX458837:MPX459150 MZT458837:MZT459150 NJP458837:NJP459150 NTL458837:NTL459150 ODH458837:ODH459150 OND458837:OND459150 OWZ458837:OWZ459150 PGV458837:PGV459150 PQR458837:PQR459150 QAN458837:QAN459150 QKJ458837:QKJ459150 QUF458837:QUF459150 REB458837:REB459150 RNX458837:RNX459150 RXT458837:RXT459150 SHP458837:SHP459150 SRL458837:SRL459150 TBH458837:TBH459150 TLD458837:TLD459150 TUZ458837:TUZ459150 UEV458837:UEV459150 UOR458837:UOR459150 UYN458837:UYN459150 VIJ458837:VIJ459150 VSF458837:VSF459150 WCB458837:WCB459150 WLX458837:WLX459150 WVT458837:WVT459150 JH524373:JH524686 TD524373:TD524686 ACZ524373:ACZ524686 AMV524373:AMV524686 AWR524373:AWR524686 BGN524373:BGN524686 BQJ524373:BQJ524686 CAF524373:CAF524686 CKB524373:CKB524686 CTX524373:CTX524686 DDT524373:DDT524686 DNP524373:DNP524686 DXL524373:DXL524686 EHH524373:EHH524686 ERD524373:ERD524686 FAZ524373:FAZ524686 FKV524373:FKV524686 FUR524373:FUR524686 GEN524373:GEN524686 GOJ524373:GOJ524686 GYF524373:GYF524686 HIB524373:HIB524686 HRX524373:HRX524686 IBT524373:IBT524686 ILP524373:ILP524686 IVL524373:IVL524686 JFH524373:JFH524686 JPD524373:JPD524686 JYZ524373:JYZ524686 KIV524373:KIV524686 KSR524373:KSR524686 LCN524373:LCN524686 LMJ524373:LMJ524686 LWF524373:LWF524686 MGB524373:MGB524686 MPX524373:MPX524686 MZT524373:MZT524686 NJP524373:NJP524686 NTL524373:NTL524686 ODH524373:ODH524686 OND524373:OND524686 OWZ524373:OWZ524686 PGV524373:PGV524686 PQR524373:PQR524686 QAN524373:QAN524686 QKJ524373:QKJ524686 QUF524373:QUF524686 REB524373:REB524686 RNX524373:RNX524686 RXT524373:RXT524686 SHP524373:SHP524686 SRL524373:SRL524686 TBH524373:TBH524686 TLD524373:TLD524686 TUZ524373:TUZ524686 UEV524373:UEV524686 UOR524373:UOR524686 UYN524373:UYN524686 VIJ524373:VIJ524686 VSF524373:VSF524686 WCB524373:WCB524686 WLX524373:WLX524686 WVT524373:WVT524686 JH589909:JH590222 TD589909:TD590222 ACZ589909:ACZ590222 AMV589909:AMV590222 AWR589909:AWR590222 BGN589909:BGN590222 BQJ589909:BQJ590222 CAF589909:CAF590222 CKB589909:CKB590222 CTX589909:CTX590222 DDT589909:DDT590222 DNP589909:DNP590222 DXL589909:DXL590222 EHH589909:EHH590222 ERD589909:ERD590222 FAZ589909:FAZ590222 FKV589909:FKV590222 FUR589909:FUR590222 GEN589909:GEN590222 GOJ589909:GOJ590222 GYF589909:GYF590222 HIB589909:HIB590222 HRX589909:HRX590222 IBT589909:IBT590222 ILP589909:ILP590222 IVL589909:IVL590222 JFH589909:JFH590222 JPD589909:JPD590222 JYZ589909:JYZ590222 KIV589909:KIV590222 KSR589909:KSR590222 LCN589909:LCN590222 LMJ589909:LMJ590222 LWF589909:LWF590222 MGB589909:MGB590222 MPX589909:MPX590222 MZT589909:MZT590222 NJP589909:NJP590222 NTL589909:NTL590222 ODH589909:ODH590222 OND589909:OND590222 OWZ589909:OWZ590222 PGV589909:PGV590222 PQR589909:PQR590222 QAN589909:QAN590222 QKJ589909:QKJ590222 QUF589909:QUF590222 REB589909:REB590222 RNX589909:RNX590222 RXT589909:RXT590222 SHP589909:SHP590222 SRL589909:SRL590222 TBH589909:TBH590222 TLD589909:TLD590222 TUZ589909:TUZ590222 UEV589909:UEV590222 UOR589909:UOR590222 UYN589909:UYN590222 VIJ589909:VIJ590222 VSF589909:VSF590222 WCB589909:WCB590222 WLX589909:WLX590222 WVT589909:WVT590222 JH655445:JH655758 TD655445:TD655758 ACZ655445:ACZ655758 AMV655445:AMV655758 AWR655445:AWR655758 BGN655445:BGN655758 BQJ655445:BQJ655758 CAF655445:CAF655758 CKB655445:CKB655758 CTX655445:CTX655758 DDT655445:DDT655758 DNP655445:DNP655758 DXL655445:DXL655758 EHH655445:EHH655758 ERD655445:ERD655758 FAZ655445:FAZ655758 FKV655445:FKV655758 FUR655445:FUR655758 GEN655445:GEN655758 GOJ655445:GOJ655758 GYF655445:GYF655758 HIB655445:HIB655758 HRX655445:HRX655758 IBT655445:IBT655758 ILP655445:ILP655758 IVL655445:IVL655758 JFH655445:JFH655758 JPD655445:JPD655758 JYZ655445:JYZ655758 KIV655445:KIV655758 KSR655445:KSR655758 LCN655445:LCN655758 LMJ655445:LMJ655758 LWF655445:LWF655758 MGB655445:MGB655758 MPX655445:MPX655758 MZT655445:MZT655758 NJP655445:NJP655758 NTL655445:NTL655758 ODH655445:ODH655758 OND655445:OND655758 OWZ655445:OWZ655758 PGV655445:PGV655758 PQR655445:PQR655758 QAN655445:QAN655758 QKJ655445:QKJ655758 QUF655445:QUF655758 REB655445:REB655758 RNX655445:RNX655758 RXT655445:RXT655758 SHP655445:SHP655758 SRL655445:SRL655758 TBH655445:TBH655758 TLD655445:TLD655758 TUZ655445:TUZ655758 UEV655445:UEV655758 UOR655445:UOR655758 UYN655445:UYN655758 VIJ655445:VIJ655758 VSF655445:VSF655758 WCB655445:WCB655758 WLX655445:WLX655758 WVT655445:WVT655758 JH720981:JH721294 TD720981:TD721294 ACZ720981:ACZ721294 AMV720981:AMV721294 AWR720981:AWR721294 BGN720981:BGN721294 BQJ720981:BQJ721294 CAF720981:CAF721294 CKB720981:CKB721294 CTX720981:CTX721294 DDT720981:DDT721294 DNP720981:DNP721294 DXL720981:DXL721294 EHH720981:EHH721294 ERD720981:ERD721294 FAZ720981:FAZ721294 FKV720981:FKV721294 FUR720981:FUR721294 GEN720981:GEN721294 GOJ720981:GOJ721294 GYF720981:GYF721294 HIB720981:HIB721294 HRX720981:HRX721294 IBT720981:IBT721294 ILP720981:ILP721294 IVL720981:IVL721294 JFH720981:JFH721294 JPD720981:JPD721294 JYZ720981:JYZ721294 KIV720981:KIV721294 KSR720981:KSR721294 LCN720981:LCN721294 LMJ720981:LMJ721294 LWF720981:LWF721294 MGB720981:MGB721294 MPX720981:MPX721294 MZT720981:MZT721294 NJP720981:NJP721294 NTL720981:NTL721294 ODH720981:ODH721294 OND720981:OND721294 OWZ720981:OWZ721294 PGV720981:PGV721294 PQR720981:PQR721294 QAN720981:QAN721294 QKJ720981:QKJ721294 QUF720981:QUF721294 REB720981:REB721294 RNX720981:RNX721294 RXT720981:RXT721294 SHP720981:SHP721294 SRL720981:SRL721294 TBH720981:TBH721294 TLD720981:TLD721294 TUZ720981:TUZ721294 UEV720981:UEV721294 UOR720981:UOR721294 UYN720981:UYN721294 VIJ720981:VIJ721294 VSF720981:VSF721294 WCB720981:WCB721294 WLX720981:WLX721294 WVT720981:WVT721294 JH786517:JH786830 TD786517:TD786830 ACZ786517:ACZ786830 AMV786517:AMV786830 AWR786517:AWR786830 BGN786517:BGN786830 BQJ786517:BQJ786830 CAF786517:CAF786830 CKB786517:CKB786830 CTX786517:CTX786830 DDT786517:DDT786830 DNP786517:DNP786830 DXL786517:DXL786830 EHH786517:EHH786830 ERD786517:ERD786830 FAZ786517:FAZ786830 FKV786517:FKV786830 FUR786517:FUR786830 GEN786517:GEN786830 GOJ786517:GOJ786830 GYF786517:GYF786830 HIB786517:HIB786830 HRX786517:HRX786830 IBT786517:IBT786830 ILP786517:ILP786830 IVL786517:IVL786830 JFH786517:JFH786830 JPD786517:JPD786830 JYZ786517:JYZ786830 KIV786517:KIV786830 KSR786517:KSR786830 LCN786517:LCN786830 LMJ786517:LMJ786830 LWF786517:LWF786830 MGB786517:MGB786830 MPX786517:MPX786830 MZT786517:MZT786830 NJP786517:NJP786830 NTL786517:NTL786830 ODH786517:ODH786830 OND786517:OND786830 OWZ786517:OWZ786830 PGV786517:PGV786830 PQR786517:PQR786830 QAN786517:QAN786830 QKJ786517:QKJ786830 QUF786517:QUF786830 REB786517:REB786830 RNX786517:RNX786830 RXT786517:RXT786830 SHP786517:SHP786830 SRL786517:SRL786830 TBH786517:TBH786830 TLD786517:TLD786830 TUZ786517:TUZ786830 UEV786517:UEV786830 UOR786517:UOR786830 UYN786517:UYN786830 VIJ786517:VIJ786830 VSF786517:VSF786830 WCB786517:WCB786830 WLX786517:WLX786830 WVT786517:WVT786830 JH852053:JH852366 TD852053:TD852366 ACZ852053:ACZ852366 AMV852053:AMV852366 AWR852053:AWR852366 BGN852053:BGN852366 BQJ852053:BQJ852366 CAF852053:CAF852366 CKB852053:CKB852366 CTX852053:CTX852366 DDT852053:DDT852366 DNP852053:DNP852366 DXL852053:DXL852366 EHH852053:EHH852366 ERD852053:ERD852366 FAZ852053:FAZ852366 FKV852053:FKV852366 FUR852053:FUR852366 GEN852053:GEN852366 GOJ852053:GOJ852366 GYF852053:GYF852366 HIB852053:HIB852366 HRX852053:HRX852366 IBT852053:IBT852366 ILP852053:ILP852366 IVL852053:IVL852366 JFH852053:JFH852366 JPD852053:JPD852366 JYZ852053:JYZ852366 KIV852053:KIV852366 KSR852053:KSR852366 LCN852053:LCN852366 LMJ852053:LMJ852366 LWF852053:LWF852366 MGB852053:MGB852366 MPX852053:MPX852366 MZT852053:MZT852366 NJP852053:NJP852366 NTL852053:NTL852366 ODH852053:ODH852366 OND852053:OND852366 OWZ852053:OWZ852366 PGV852053:PGV852366 PQR852053:PQR852366 QAN852053:QAN852366 QKJ852053:QKJ852366 QUF852053:QUF852366 REB852053:REB852366 RNX852053:RNX852366 RXT852053:RXT852366 SHP852053:SHP852366 SRL852053:SRL852366 TBH852053:TBH852366 TLD852053:TLD852366 TUZ852053:TUZ852366 UEV852053:UEV852366 UOR852053:UOR852366 UYN852053:UYN852366 VIJ852053:VIJ852366 VSF852053:VSF852366 WCB852053:WCB852366 WLX852053:WLX852366 WVT852053:WVT852366 JH917589:JH917902 TD917589:TD917902 ACZ917589:ACZ917902 AMV917589:AMV917902 AWR917589:AWR917902 BGN917589:BGN917902 BQJ917589:BQJ917902 CAF917589:CAF917902 CKB917589:CKB917902 CTX917589:CTX917902 DDT917589:DDT917902 DNP917589:DNP917902 DXL917589:DXL917902 EHH917589:EHH917902 ERD917589:ERD917902 FAZ917589:FAZ917902 FKV917589:FKV917902 FUR917589:FUR917902 GEN917589:GEN917902 GOJ917589:GOJ917902 GYF917589:GYF917902 HIB917589:HIB917902 HRX917589:HRX917902 IBT917589:IBT917902 ILP917589:ILP917902 IVL917589:IVL917902 JFH917589:JFH917902 JPD917589:JPD917902 JYZ917589:JYZ917902 KIV917589:KIV917902 KSR917589:KSR917902 LCN917589:LCN917902 LMJ917589:LMJ917902 LWF917589:LWF917902 MGB917589:MGB917902 MPX917589:MPX917902 MZT917589:MZT917902 NJP917589:NJP917902 NTL917589:NTL917902 ODH917589:ODH917902 OND917589:OND917902 OWZ917589:OWZ917902 PGV917589:PGV917902 PQR917589:PQR917902 QAN917589:QAN917902 QKJ917589:QKJ917902 QUF917589:QUF917902 REB917589:REB917902 RNX917589:RNX917902 RXT917589:RXT917902 SHP917589:SHP917902 SRL917589:SRL917902 TBH917589:TBH917902 TLD917589:TLD917902 TUZ917589:TUZ917902 UEV917589:UEV917902 UOR917589:UOR917902 UYN917589:UYN917902 VIJ917589:VIJ917902 VSF917589:VSF917902 WCB917589:WCB917902 WLX917589:WLX917902 WVT917589:WVT917902 JH983125:JH983438 TD983125:TD983438 ACZ983125:ACZ983438 AMV983125:AMV983438 AWR983125:AWR983438 BGN983125:BGN983438 BQJ983125:BQJ983438 CAF983125:CAF983438 CKB983125:CKB983438 CTX983125:CTX983438 DDT983125:DDT983438 DNP983125:DNP983438 DXL983125:DXL983438 EHH983125:EHH983438 ERD983125:ERD983438 FAZ983125:FAZ983438 FKV983125:FKV983438 FUR983125:FUR983438 GEN983125:GEN983438 GOJ983125:GOJ983438 GYF983125:GYF983438 HIB983125:HIB983438 HRX983125:HRX983438 IBT983125:IBT983438 ILP983125:ILP983438 IVL983125:IVL983438 JFH983125:JFH983438 JPD983125:JPD983438 JYZ983125:JYZ983438 KIV983125:KIV983438 KSR983125:KSR983438 LCN983125:LCN983438 LMJ983125:LMJ983438 LWF983125:LWF983438 MGB983125:MGB983438 MPX983125:MPX983438 MZT983125:MZT983438 NJP983125:NJP983438 NTL983125:NTL983438 ODH983125:ODH983438 OND983125:OND983438 OWZ983125:OWZ983438 PGV983125:PGV983438 PQR983125:PQR983438 QAN983125:QAN983438 QKJ983125:QKJ983438 QUF983125:QUF983438 REB983125:REB983438 RNX983125:RNX983438 RXT983125:RXT983438 SHP983125:SHP983438 SRL983125:SRL983438 TBH983125:TBH983438 TLD983125:TLD983438 TUZ983125:TUZ983438 UEV983125:UEV983438 UOR983125:UOR983438 UYN983125:UYN983438 VIJ983125:VIJ983438 VSF983125:VSF983438 WCB983125:WCB983438 WLX983125:WLX983438 JG337:JG451 JH452:JH546 TC337:TC451 TD452:TD546 ACY337:ACY451 ACZ452:ACZ546 AMU337:AMU451 AMV452:AMV546 AWQ337:AWQ451 AWR452:AWR546 BGM337:BGM451 BGN452:BGN546 BQI337:BQI451 BQJ452:BQJ546 CAE337:CAE451 CAF452:CAF546 CKA337:CKA451 CKB452:CKB546 CTW337:CTW451 CTX452:CTX546 DDS337:DDS451 DDT452:DDT546 DNO337:DNO451 DNP452:DNP546 DXK337:DXK451 DXL452:DXL546 EHG337:EHG451 EHH452:EHH546 ERC337:ERC451 ERD452:ERD546 FAY337:FAY451 FAZ452:FAZ546 FKU337:FKU451 FKV452:FKV546 FUQ337:FUQ451 FUR452:FUR546 GEM337:GEM451 GEN452:GEN546 GOI337:GOI451 GOJ452:GOJ546 GYE337:GYE451 GYF452:GYF546 HIA337:HIA451 HIB452:HIB546 HRW337:HRW451 HRX452:HRX546 IBS337:IBS451 IBT452:IBT546 ILO337:ILO451 ILP452:ILP546 IVK337:IVK451 IVL452:IVL546 JFG337:JFG451 JFH452:JFH546 JPC337:JPC451 JPD452:JPD546 JYY337:JYY451 JYZ452:JYZ546 KIU337:KIU451 KIV452:KIV546 KSQ337:KSQ451 KSR452:KSR546 LCM337:LCM451 LCN452:LCN546 LMI337:LMI451 LMJ452:LMJ546 LWE337:LWE451 LWF452:LWF546 MGA337:MGA451 MGB452:MGB546 MPW337:MPW451 MPX452:MPX546 MZS337:MZS451 MZT452:MZT546 NJO337:NJO451 NJP452:NJP546 NTK337:NTK451 NTL452:NTL546 ODG337:ODG451 ODH452:ODH546 ONC337:ONC451 OND452:OND546 OWY337:OWY451 OWZ452:OWZ546 PGU337:PGU451 PGV452:PGV546 PQQ337:PQQ451 PQR452:PQR546 QAM337:QAM451 QAN452:QAN546 QKI337:QKI451 QKJ452:QKJ546 QUE337:QUE451 QUF452:QUF546 REA337:REA451 REB452:REB546 RNW337:RNW451 RNX452:RNX546 RXS337:RXS451 RXT452:RXT546 SHO337:SHO451 SHP452:SHP546 SRK337:SRK451 SRL452:SRL546 TBG337:TBG451 TBH452:TBH546 TLC337:TLC451 TLD452:TLD546 TUY337:TUY451 TUZ452:TUZ546 UEU337:UEU451 UEV452:UEV546 UOQ337:UOQ451 UOR452:UOR546 UYM337:UYM451 UYN452:UYN546 VII337:VII451 VIJ452:VIJ546 VSE337:VSE451 VSF452:VSF546 WCA337:WCA451 WCB452:WCB546 WLW337:WLW451 WLX452:WLX546 WVS337:WVS451 WVT452:WVT546">
      <formula1>0</formula1>
      <formula2>2</formula2>
    </dataValidation>
    <dataValidation type="whole" allowBlank="1" showInputMessage="1" showErrorMessage="1" sqref="RDZ982813:RDZ983138 JE25:JE350 TA25:TA350 ACW25:ACW350 AMS25:AMS350 AWO25:AWO350 BGK25:BGK350 BQG25:BQG350 CAC25:CAC350 CJY25:CJY350 CTU25:CTU350 DDQ25:DDQ350 DNM25:DNM350 DXI25:DXI350 EHE25:EHE350 ERA25:ERA350 FAW25:FAW350 FKS25:FKS350 FUO25:FUO350 GEK25:GEK350 GOG25:GOG350 GYC25:GYC350 HHY25:HHY350 HRU25:HRU350 IBQ25:IBQ350 ILM25:ILM350 IVI25:IVI350 JFE25:JFE350 JPA25:JPA350 JYW25:JYW350 KIS25:KIS350 KSO25:KSO350 LCK25:LCK350 LMG25:LMG350 LWC25:LWC350 MFY25:MFY350 MPU25:MPU350 MZQ25:MZQ350 NJM25:NJM350 NTI25:NTI350 ODE25:ODE350 ONA25:ONA350 OWW25:OWW350 PGS25:PGS350 PQO25:PQO350 QAK25:QAK350 QKG25:QKG350 QUC25:QUC350 RDY25:RDY350 RNU25:RNU350 RXQ25:RXQ350 SHM25:SHM350 SRI25:SRI350 TBE25:TBE350 TLA25:TLA350 TUW25:TUW350 UES25:UES350 UOO25:UOO350 UYK25:UYK350 VIG25:VIG350 VSC25:VSC350 WBY25:WBY350 WLU25:WLU350 WVQ25:WVQ350 RNV982813:RNV983138 JF65309:JF65634 TB65309:TB65634 ACX65309:ACX65634 AMT65309:AMT65634 AWP65309:AWP65634 BGL65309:BGL65634 BQH65309:BQH65634 CAD65309:CAD65634 CJZ65309:CJZ65634 CTV65309:CTV65634 DDR65309:DDR65634 DNN65309:DNN65634 DXJ65309:DXJ65634 EHF65309:EHF65634 ERB65309:ERB65634 FAX65309:FAX65634 FKT65309:FKT65634 FUP65309:FUP65634 GEL65309:GEL65634 GOH65309:GOH65634 GYD65309:GYD65634 HHZ65309:HHZ65634 HRV65309:HRV65634 IBR65309:IBR65634 ILN65309:ILN65634 IVJ65309:IVJ65634 JFF65309:JFF65634 JPB65309:JPB65634 JYX65309:JYX65634 KIT65309:KIT65634 KSP65309:KSP65634 LCL65309:LCL65634 LMH65309:LMH65634 LWD65309:LWD65634 MFZ65309:MFZ65634 MPV65309:MPV65634 MZR65309:MZR65634 NJN65309:NJN65634 NTJ65309:NTJ65634 ODF65309:ODF65634 ONB65309:ONB65634 OWX65309:OWX65634 PGT65309:PGT65634 PQP65309:PQP65634 QAL65309:QAL65634 QKH65309:QKH65634 QUD65309:QUD65634 RDZ65309:RDZ65634 RNV65309:RNV65634 RXR65309:RXR65634 SHN65309:SHN65634 SRJ65309:SRJ65634 TBF65309:TBF65634 TLB65309:TLB65634 TUX65309:TUX65634 UET65309:UET65634 UOP65309:UOP65634 UYL65309:UYL65634 VIH65309:VIH65634 VSD65309:VSD65634 WBZ65309:WBZ65634 WLV65309:WLV65634 WVR65309:WVR65634 RXR982813:RXR983138 JF130845:JF131170 TB130845:TB131170 ACX130845:ACX131170 AMT130845:AMT131170 AWP130845:AWP131170 BGL130845:BGL131170 BQH130845:BQH131170 CAD130845:CAD131170 CJZ130845:CJZ131170 CTV130845:CTV131170 DDR130845:DDR131170 DNN130845:DNN131170 DXJ130845:DXJ131170 EHF130845:EHF131170 ERB130845:ERB131170 FAX130845:FAX131170 FKT130845:FKT131170 FUP130845:FUP131170 GEL130845:GEL131170 GOH130845:GOH131170 GYD130845:GYD131170 HHZ130845:HHZ131170 HRV130845:HRV131170 IBR130845:IBR131170 ILN130845:ILN131170 IVJ130845:IVJ131170 JFF130845:JFF131170 JPB130845:JPB131170 JYX130845:JYX131170 KIT130845:KIT131170 KSP130845:KSP131170 LCL130845:LCL131170 LMH130845:LMH131170 LWD130845:LWD131170 MFZ130845:MFZ131170 MPV130845:MPV131170 MZR130845:MZR131170 NJN130845:NJN131170 NTJ130845:NTJ131170 ODF130845:ODF131170 ONB130845:ONB131170 OWX130845:OWX131170 PGT130845:PGT131170 PQP130845:PQP131170 QAL130845:QAL131170 QKH130845:QKH131170 QUD130845:QUD131170 RDZ130845:RDZ131170 RNV130845:RNV131170 RXR130845:RXR131170 SHN130845:SHN131170 SRJ130845:SRJ131170 TBF130845:TBF131170 TLB130845:TLB131170 TUX130845:TUX131170 UET130845:UET131170 UOP130845:UOP131170 UYL130845:UYL131170 VIH130845:VIH131170 VSD130845:VSD131170 WBZ130845:WBZ131170 WLV130845:WLV131170 WVR130845:WVR131170 SHN982813:SHN983138 JF196381:JF196706 TB196381:TB196706 ACX196381:ACX196706 AMT196381:AMT196706 AWP196381:AWP196706 BGL196381:BGL196706 BQH196381:BQH196706 CAD196381:CAD196706 CJZ196381:CJZ196706 CTV196381:CTV196706 DDR196381:DDR196706 DNN196381:DNN196706 DXJ196381:DXJ196706 EHF196381:EHF196706 ERB196381:ERB196706 FAX196381:FAX196706 FKT196381:FKT196706 FUP196381:FUP196706 GEL196381:GEL196706 GOH196381:GOH196706 GYD196381:GYD196706 HHZ196381:HHZ196706 HRV196381:HRV196706 IBR196381:IBR196706 ILN196381:ILN196706 IVJ196381:IVJ196706 JFF196381:JFF196706 JPB196381:JPB196706 JYX196381:JYX196706 KIT196381:KIT196706 KSP196381:KSP196706 LCL196381:LCL196706 LMH196381:LMH196706 LWD196381:LWD196706 MFZ196381:MFZ196706 MPV196381:MPV196706 MZR196381:MZR196706 NJN196381:NJN196706 NTJ196381:NTJ196706 ODF196381:ODF196706 ONB196381:ONB196706 OWX196381:OWX196706 PGT196381:PGT196706 PQP196381:PQP196706 QAL196381:QAL196706 QKH196381:QKH196706 QUD196381:QUD196706 RDZ196381:RDZ196706 RNV196381:RNV196706 RXR196381:RXR196706 SHN196381:SHN196706 SRJ196381:SRJ196706 TBF196381:TBF196706 TLB196381:TLB196706 TUX196381:TUX196706 UET196381:UET196706 UOP196381:UOP196706 UYL196381:UYL196706 VIH196381:VIH196706 VSD196381:VSD196706 WBZ196381:WBZ196706 WLV196381:WLV196706 WVR196381:WVR196706 SRJ982813:SRJ983138 JF261917:JF262242 TB261917:TB262242 ACX261917:ACX262242 AMT261917:AMT262242 AWP261917:AWP262242 BGL261917:BGL262242 BQH261917:BQH262242 CAD261917:CAD262242 CJZ261917:CJZ262242 CTV261917:CTV262242 DDR261917:DDR262242 DNN261917:DNN262242 DXJ261917:DXJ262242 EHF261917:EHF262242 ERB261917:ERB262242 FAX261917:FAX262242 FKT261917:FKT262242 FUP261917:FUP262242 GEL261917:GEL262242 GOH261917:GOH262242 GYD261917:GYD262242 HHZ261917:HHZ262242 HRV261917:HRV262242 IBR261917:IBR262242 ILN261917:ILN262242 IVJ261917:IVJ262242 JFF261917:JFF262242 JPB261917:JPB262242 JYX261917:JYX262242 KIT261917:KIT262242 KSP261917:KSP262242 LCL261917:LCL262242 LMH261917:LMH262242 LWD261917:LWD262242 MFZ261917:MFZ262242 MPV261917:MPV262242 MZR261917:MZR262242 NJN261917:NJN262242 NTJ261917:NTJ262242 ODF261917:ODF262242 ONB261917:ONB262242 OWX261917:OWX262242 PGT261917:PGT262242 PQP261917:PQP262242 QAL261917:QAL262242 QKH261917:QKH262242 QUD261917:QUD262242 RDZ261917:RDZ262242 RNV261917:RNV262242 RXR261917:RXR262242 SHN261917:SHN262242 SRJ261917:SRJ262242 TBF261917:TBF262242 TLB261917:TLB262242 TUX261917:TUX262242 UET261917:UET262242 UOP261917:UOP262242 UYL261917:UYL262242 VIH261917:VIH262242 VSD261917:VSD262242 WBZ261917:WBZ262242 WLV261917:WLV262242 WVR261917:WVR262242 TBF982813:TBF983138 JF327453:JF327778 TB327453:TB327778 ACX327453:ACX327778 AMT327453:AMT327778 AWP327453:AWP327778 BGL327453:BGL327778 BQH327453:BQH327778 CAD327453:CAD327778 CJZ327453:CJZ327778 CTV327453:CTV327778 DDR327453:DDR327778 DNN327453:DNN327778 DXJ327453:DXJ327778 EHF327453:EHF327778 ERB327453:ERB327778 FAX327453:FAX327778 FKT327453:FKT327778 FUP327453:FUP327778 GEL327453:GEL327778 GOH327453:GOH327778 GYD327453:GYD327778 HHZ327453:HHZ327778 HRV327453:HRV327778 IBR327453:IBR327778 ILN327453:ILN327778 IVJ327453:IVJ327778 JFF327453:JFF327778 JPB327453:JPB327778 JYX327453:JYX327778 KIT327453:KIT327778 KSP327453:KSP327778 LCL327453:LCL327778 LMH327453:LMH327778 LWD327453:LWD327778 MFZ327453:MFZ327778 MPV327453:MPV327778 MZR327453:MZR327778 NJN327453:NJN327778 NTJ327453:NTJ327778 ODF327453:ODF327778 ONB327453:ONB327778 OWX327453:OWX327778 PGT327453:PGT327778 PQP327453:PQP327778 QAL327453:QAL327778 QKH327453:QKH327778 QUD327453:QUD327778 RDZ327453:RDZ327778 RNV327453:RNV327778 RXR327453:RXR327778 SHN327453:SHN327778 SRJ327453:SRJ327778 TBF327453:TBF327778 TLB327453:TLB327778 TUX327453:TUX327778 UET327453:UET327778 UOP327453:UOP327778 UYL327453:UYL327778 VIH327453:VIH327778 VSD327453:VSD327778 WBZ327453:WBZ327778 WLV327453:WLV327778 WVR327453:WVR327778 TLB982813:TLB983138 JF392989:JF393314 TB392989:TB393314 ACX392989:ACX393314 AMT392989:AMT393314 AWP392989:AWP393314 BGL392989:BGL393314 BQH392989:BQH393314 CAD392989:CAD393314 CJZ392989:CJZ393314 CTV392989:CTV393314 DDR392989:DDR393314 DNN392989:DNN393314 DXJ392989:DXJ393314 EHF392989:EHF393314 ERB392989:ERB393314 FAX392989:FAX393314 FKT392989:FKT393314 FUP392989:FUP393314 GEL392989:GEL393314 GOH392989:GOH393314 GYD392989:GYD393314 HHZ392989:HHZ393314 HRV392989:HRV393314 IBR392989:IBR393314 ILN392989:ILN393314 IVJ392989:IVJ393314 JFF392989:JFF393314 JPB392989:JPB393314 JYX392989:JYX393314 KIT392989:KIT393314 KSP392989:KSP393314 LCL392989:LCL393314 LMH392989:LMH393314 LWD392989:LWD393314 MFZ392989:MFZ393314 MPV392989:MPV393314 MZR392989:MZR393314 NJN392989:NJN393314 NTJ392989:NTJ393314 ODF392989:ODF393314 ONB392989:ONB393314 OWX392989:OWX393314 PGT392989:PGT393314 PQP392989:PQP393314 QAL392989:QAL393314 QKH392989:QKH393314 QUD392989:QUD393314 RDZ392989:RDZ393314 RNV392989:RNV393314 RXR392989:RXR393314 SHN392989:SHN393314 SRJ392989:SRJ393314 TBF392989:TBF393314 TLB392989:TLB393314 TUX392989:TUX393314 UET392989:UET393314 UOP392989:UOP393314 UYL392989:UYL393314 VIH392989:VIH393314 VSD392989:VSD393314 WBZ392989:WBZ393314 WLV392989:WLV393314 WVR392989:WVR393314 TUX982813:TUX983138 JF458525:JF458850 TB458525:TB458850 ACX458525:ACX458850 AMT458525:AMT458850 AWP458525:AWP458850 BGL458525:BGL458850 BQH458525:BQH458850 CAD458525:CAD458850 CJZ458525:CJZ458850 CTV458525:CTV458850 DDR458525:DDR458850 DNN458525:DNN458850 DXJ458525:DXJ458850 EHF458525:EHF458850 ERB458525:ERB458850 FAX458525:FAX458850 FKT458525:FKT458850 FUP458525:FUP458850 GEL458525:GEL458850 GOH458525:GOH458850 GYD458525:GYD458850 HHZ458525:HHZ458850 HRV458525:HRV458850 IBR458525:IBR458850 ILN458525:ILN458850 IVJ458525:IVJ458850 JFF458525:JFF458850 JPB458525:JPB458850 JYX458525:JYX458850 KIT458525:KIT458850 KSP458525:KSP458850 LCL458525:LCL458850 LMH458525:LMH458850 LWD458525:LWD458850 MFZ458525:MFZ458850 MPV458525:MPV458850 MZR458525:MZR458850 NJN458525:NJN458850 NTJ458525:NTJ458850 ODF458525:ODF458850 ONB458525:ONB458850 OWX458525:OWX458850 PGT458525:PGT458850 PQP458525:PQP458850 QAL458525:QAL458850 QKH458525:QKH458850 QUD458525:QUD458850 RDZ458525:RDZ458850 RNV458525:RNV458850 RXR458525:RXR458850 SHN458525:SHN458850 SRJ458525:SRJ458850 TBF458525:TBF458850 TLB458525:TLB458850 TUX458525:TUX458850 UET458525:UET458850 UOP458525:UOP458850 UYL458525:UYL458850 VIH458525:VIH458850 VSD458525:VSD458850 WBZ458525:WBZ458850 WLV458525:WLV458850 WVR458525:WVR458850 UET982813:UET983138 JF524061:JF524386 TB524061:TB524386 ACX524061:ACX524386 AMT524061:AMT524386 AWP524061:AWP524386 BGL524061:BGL524386 BQH524061:BQH524386 CAD524061:CAD524386 CJZ524061:CJZ524386 CTV524061:CTV524386 DDR524061:DDR524386 DNN524061:DNN524386 DXJ524061:DXJ524386 EHF524061:EHF524386 ERB524061:ERB524386 FAX524061:FAX524386 FKT524061:FKT524386 FUP524061:FUP524386 GEL524061:GEL524386 GOH524061:GOH524386 GYD524061:GYD524386 HHZ524061:HHZ524386 HRV524061:HRV524386 IBR524061:IBR524386 ILN524061:ILN524386 IVJ524061:IVJ524386 JFF524061:JFF524386 JPB524061:JPB524386 JYX524061:JYX524386 KIT524061:KIT524386 KSP524061:KSP524386 LCL524061:LCL524386 LMH524061:LMH524386 LWD524061:LWD524386 MFZ524061:MFZ524386 MPV524061:MPV524386 MZR524061:MZR524386 NJN524061:NJN524386 NTJ524061:NTJ524386 ODF524061:ODF524386 ONB524061:ONB524386 OWX524061:OWX524386 PGT524061:PGT524386 PQP524061:PQP524386 QAL524061:QAL524386 QKH524061:QKH524386 QUD524061:QUD524386 RDZ524061:RDZ524386 RNV524061:RNV524386 RXR524061:RXR524386 SHN524061:SHN524386 SRJ524061:SRJ524386 TBF524061:TBF524386 TLB524061:TLB524386 TUX524061:TUX524386 UET524061:UET524386 UOP524061:UOP524386 UYL524061:UYL524386 VIH524061:VIH524386 VSD524061:VSD524386 WBZ524061:WBZ524386 WLV524061:WLV524386 WVR524061:WVR524386 UOP982813:UOP983138 JF589597:JF589922 TB589597:TB589922 ACX589597:ACX589922 AMT589597:AMT589922 AWP589597:AWP589922 BGL589597:BGL589922 BQH589597:BQH589922 CAD589597:CAD589922 CJZ589597:CJZ589922 CTV589597:CTV589922 DDR589597:DDR589922 DNN589597:DNN589922 DXJ589597:DXJ589922 EHF589597:EHF589922 ERB589597:ERB589922 FAX589597:FAX589922 FKT589597:FKT589922 FUP589597:FUP589922 GEL589597:GEL589922 GOH589597:GOH589922 GYD589597:GYD589922 HHZ589597:HHZ589922 HRV589597:HRV589922 IBR589597:IBR589922 ILN589597:ILN589922 IVJ589597:IVJ589922 JFF589597:JFF589922 JPB589597:JPB589922 JYX589597:JYX589922 KIT589597:KIT589922 KSP589597:KSP589922 LCL589597:LCL589922 LMH589597:LMH589922 LWD589597:LWD589922 MFZ589597:MFZ589922 MPV589597:MPV589922 MZR589597:MZR589922 NJN589597:NJN589922 NTJ589597:NTJ589922 ODF589597:ODF589922 ONB589597:ONB589922 OWX589597:OWX589922 PGT589597:PGT589922 PQP589597:PQP589922 QAL589597:QAL589922 QKH589597:QKH589922 QUD589597:QUD589922 RDZ589597:RDZ589922 RNV589597:RNV589922 RXR589597:RXR589922 SHN589597:SHN589922 SRJ589597:SRJ589922 TBF589597:TBF589922 TLB589597:TLB589922 TUX589597:TUX589922 UET589597:UET589922 UOP589597:UOP589922 UYL589597:UYL589922 VIH589597:VIH589922 VSD589597:VSD589922 WBZ589597:WBZ589922 WLV589597:WLV589922 WVR589597:WVR589922 UYL982813:UYL983138 JF655133:JF655458 TB655133:TB655458 ACX655133:ACX655458 AMT655133:AMT655458 AWP655133:AWP655458 BGL655133:BGL655458 BQH655133:BQH655458 CAD655133:CAD655458 CJZ655133:CJZ655458 CTV655133:CTV655458 DDR655133:DDR655458 DNN655133:DNN655458 DXJ655133:DXJ655458 EHF655133:EHF655458 ERB655133:ERB655458 FAX655133:FAX655458 FKT655133:FKT655458 FUP655133:FUP655458 GEL655133:GEL655458 GOH655133:GOH655458 GYD655133:GYD655458 HHZ655133:HHZ655458 HRV655133:HRV655458 IBR655133:IBR655458 ILN655133:ILN655458 IVJ655133:IVJ655458 JFF655133:JFF655458 JPB655133:JPB655458 JYX655133:JYX655458 KIT655133:KIT655458 KSP655133:KSP655458 LCL655133:LCL655458 LMH655133:LMH655458 LWD655133:LWD655458 MFZ655133:MFZ655458 MPV655133:MPV655458 MZR655133:MZR655458 NJN655133:NJN655458 NTJ655133:NTJ655458 ODF655133:ODF655458 ONB655133:ONB655458 OWX655133:OWX655458 PGT655133:PGT655458 PQP655133:PQP655458 QAL655133:QAL655458 QKH655133:QKH655458 QUD655133:QUD655458 RDZ655133:RDZ655458 RNV655133:RNV655458 RXR655133:RXR655458 SHN655133:SHN655458 SRJ655133:SRJ655458 TBF655133:TBF655458 TLB655133:TLB655458 TUX655133:TUX655458 UET655133:UET655458 UOP655133:UOP655458 UYL655133:UYL655458 VIH655133:VIH655458 VSD655133:VSD655458 WBZ655133:WBZ655458 WLV655133:WLV655458 WVR655133:WVR655458 VIH982813:VIH983138 JF720669:JF720994 TB720669:TB720994 ACX720669:ACX720994 AMT720669:AMT720994 AWP720669:AWP720994 BGL720669:BGL720994 BQH720669:BQH720994 CAD720669:CAD720994 CJZ720669:CJZ720994 CTV720669:CTV720994 DDR720669:DDR720994 DNN720669:DNN720994 DXJ720669:DXJ720994 EHF720669:EHF720994 ERB720669:ERB720994 FAX720669:FAX720994 FKT720669:FKT720994 FUP720669:FUP720994 GEL720669:GEL720994 GOH720669:GOH720994 GYD720669:GYD720994 HHZ720669:HHZ720994 HRV720669:HRV720994 IBR720669:IBR720994 ILN720669:ILN720994 IVJ720669:IVJ720994 JFF720669:JFF720994 JPB720669:JPB720994 JYX720669:JYX720994 KIT720669:KIT720994 KSP720669:KSP720994 LCL720669:LCL720994 LMH720669:LMH720994 LWD720669:LWD720994 MFZ720669:MFZ720994 MPV720669:MPV720994 MZR720669:MZR720994 NJN720669:NJN720994 NTJ720669:NTJ720994 ODF720669:ODF720994 ONB720669:ONB720994 OWX720669:OWX720994 PGT720669:PGT720994 PQP720669:PQP720994 QAL720669:QAL720994 QKH720669:QKH720994 QUD720669:QUD720994 RDZ720669:RDZ720994 RNV720669:RNV720994 RXR720669:RXR720994 SHN720669:SHN720994 SRJ720669:SRJ720994 TBF720669:TBF720994 TLB720669:TLB720994 TUX720669:TUX720994 UET720669:UET720994 UOP720669:UOP720994 UYL720669:UYL720994 VIH720669:VIH720994 VSD720669:VSD720994 WBZ720669:WBZ720994 WLV720669:WLV720994 WVR720669:WVR720994 VSD982813:VSD983138 JF786205:JF786530 TB786205:TB786530 ACX786205:ACX786530 AMT786205:AMT786530 AWP786205:AWP786530 BGL786205:BGL786530 BQH786205:BQH786530 CAD786205:CAD786530 CJZ786205:CJZ786530 CTV786205:CTV786530 DDR786205:DDR786530 DNN786205:DNN786530 DXJ786205:DXJ786530 EHF786205:EHF786530 ERB786205:ERB786530 FAX786205:FAX786530 FKT786205:FKT786530 FUP786205:FUP786530 GEL786205:GEL786530 GOH786205:GOH786530 GYD786205:GYD786530 HHZ786205:HHZ786530 HRV786205:HRV786530 IBR786205:IBR786530 ILN786205:ILN786530 IVJ786205:IVJ786530 JFF786205:JFF786530 JPB786205:JPB786530 JYX786205:JYX786530 KIT786205:KIT786530 KSP786205:KSP786530 LCL786205:LCL786530 LMH786205:LMH786530 LWD786205:LWD786530 MFZ786205:MFZ786530 MPV786205:MPV786530 MZR786205:MZR786530 NJN786205:NJN786530 NTJ786205:NTJ786530 ODF786205:ODF786530 ONB786205:ONB786530 OWX786205:OWX786530 PGT786205:PGT786530 PQP786205:PQP786530 QAL786205:QAL786530 QKH786205:QKH786530 QUD786205:QUD786530 RDZ786205:RDZ786530 RNV786205:RNV786530 RXR786205:RXR786530 SHN786205:SHN786530 SRJ786205:SRJ786530 TBF786205:TBF786530 TLB786205:TLB786530 TUX786205:TUX786530 UET786205:UET786530 UOP786205:UOP786530 UYL786205:UYL786530 VIH786205:VIH786530 VSD786205:VSD786530 WBZ786205:WBZ786530 WLV786205:WLV786530 WVR786205:WVR786530 WBZ982813:WBZ983138 JF851741:JF852066 TB851741:TB852066 ACX851741:ACX852066 AMT851741:AMT852066 AWP851741:AWP852066 BGL851741:BGL852066 BQH851741:BQH852066 CAD851741:CAD852066 CJZ851741:CJZ852066 CTV851741:CTV852066 DDR851741:DDR852066 DNN851741:DNN852066 DXJ851741:DXJ852066 EHF851741:EHF852066 ERB851741:ERB852066 FAX851741:FAX852066 FKT851741:FKT852066 FUP851741:FUP852066 GEL851741:GEL852066 GOH851741:GOH852066 GYD851741:GYD852066 HHZ851741:HHZ852066 HRV851741:HRV852066 IBR851741:IBR852066 ILN851741:ILN852066 IVJ851741:IVJ852066 JFF851741:JFF852066 JPB851741:JPB852066 JYX851741:JYX852066 KIT851741:KIT852066 KSP851741:KSP852066 LCL851741:LCL852066 LMH851741:LMH852066 LWD851741:LWD852066 MFZ851741:MFZ852066 MPV851741:MPV852066 MZR851741:MZR852066 NJN851741:NJN852066 NTJ851741:NTJ852066 ODF851741:ODF852066 ONB851741:ONB852066 OWX851741:OWX852066 PGT851741:PGT852066 PQP851741:PQP852066 QAL851741:QAL852066 QKH851741:QKH852066 QUD851741:QUD852066 RDZ851741:RDZ852066 RNV851741:RNV852066 RXR851741:RXR852066 SHN851741:SHN852066 SRJ851741:SRJ852066 TBF851741:TBF852066 TLB851741:TLB852066 TUX851741:TUX852066 UET851741:UET852066 UOP851741:UOP852066 UYL851741:UYL852066 VIH851741:VIH852066 VSD851741:VSD852066 WBZ851741:WBZ852066 WLV851741:WLV852066 WVR851741:WVR852066 WLV982813:WLV983138 JF917277:JF917602 TB917277:TB917602 ACX917277:ACX917602 AMT917277:AMT917602 AWP917277:AWP917602 BGL917277:BGL917602 BQH917277:BQH917602 CAD917277:CAD917602 CJZ917277:CJZ917602 CTV917277:CTV917602 DDR917277:DDR917602 DNN917277:DNN917602 DXJ917277:DXJ917602 EHF917277:EHF917602 ERB917277:ERB917602 FAX917277:FAX917602 FKT917277:FKT917602 FUP917277:FUP917602 GEL917277:GEL917602 GOH917277:GOH917602 GYD917277:GYD917602 HHZ917277:HHZ917602 HRV917277:HRV917602 IBR917277:IBR917602 ILN917277:ILN917602 IVJ917277:IVJ917602 JFF917277:JFF917602 JPB917277:JPB917602 JYX917277:JYX917602 KIT917277:KIT917602 KSP917277:KSP917602 LCL917277:LCL917602 LMH917277:LMH917602 LWD917277:LWD917602 MFZ917277:MFZ917602 MPV917277:MPV917602 MZR917277:MZR917602 NJN917277:NJN917602 NTJ917277:NTJ917602 ODF917277:ODF917602 ONB917277:ONB917602 OWX917277:OWX917602 PGT917277:PGT917602 PQP917277:PQP917602 QAL917277:QAL917602 QKH917277:QKH917602 QUD917277:QUD917602 RDZ917277:RDZ917602 RNV917277:RNV917602 RXR917277:RXR917602 SHN917277:SHN917602 SRJ917277:SRJ917602 TBF917277:TBF917602 TLB917277:TLB917602 TUX917277:TUX917602 UET917277:UET917602 UOP917277:UOP917602 UYL917277:UYL917602 VIH917277:VIH917602 VSD917277:VSD917602 WBZ917277:WBZ917602 WLV917277:WLV917602 WVR917277:WVR917602 WVR982813:WVR983138 JF982813:JF983138 TB982813:TB983138 ACX982813:ACX983138 AMT982813:AMT983138 AWP982813:AWP983138 BGL982813:BGL983138 BQH982813:BQH983138 CAD982813:CAD983138 CJZ982813:CJZ983138 CTV982813:CTV983138 DDR982813:DDR983138 DNN982813:DNN983138 DXJ982813:DXJ983138 EHF982813:EHF983138 ERB982813:ERB983138 FAX982813:FAX983138 FKT982813:FKT983138 FUP982813:FUP983138 GEL982813:GEL983138 GOH982813:GOH983138 GYD982813:GYD983138 HHZ982813:HHZ983138 HRV982813:HRV983138 IBR982813:IBR983138 ILN982813:ILN983138 IVJ982813:IVJ983138 JFF982813:JFF983138 JPB982813:JPB983138 JYX982813:JYX983138 KIT982813:KIT983138 KSP982813:KSP983138 LCL982813:LCL983138 LMH982813:LMH983138 LWD982813:LWD983138 MFZ982813:MFZ983138 MPV982813:MPV983138 MZR982813:MZR983138 NJN982813:NJN983138 NTJ982813:NTJ983138 ODF982813:ODF983138 ONB982813:ONB983138 OWX982813:OWX983138 PGT982813:PGT983138 PQP982813:PQP983138 QAL982813:QAL983138 QKH982813:QKH983138 QUD982813:QUD983138">
      <formula1>0</formula1>
      <formula2>100</formula2>
    </dataValidation>
  </dataValidation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2" operator="containsText" id="{31D9DA35-9D3F-4C56-A381-96EBEE2A7F84}">
            <xm:f>NOT(ISERROR(SEARCH($D$11,D11)))</xm:f>
            <xm:f>$D$11</xm:f>
            <x14:dxf/>
          </x14:cfRule>
          <xm:sqref>D11:H12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'LISTAS PPTO'!$AW$12:$AW$13</xm:f>
          </x14:formula1>
          <xm:sqref>G25:G450</xm:sqref>
        </x14:dataValidation>
        <x14:dataValidation type="list" allowBlank="1" showInputMessage="1" showErrorMessage="1">
          <x14:formula1>
            <xm:f>'LISTAS PPTO'!$AW$15:$AW$19</xm:f>
          </x14:formula1>
          <xm:sqref>F25</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R46"/>
  <sheetViews>
    <sheetView topLeftCell="A8" zoomScale="80" zoomScaleNormal="80" workbookViewId="0">
      <selection activeCell="B28" sqref="B28"/>
    </sheetView>
  </sheetViews>
  <sheetFormatPr baseColWidth="10" defaultColWidth="11.44140625" defaultRowHeight="14.4" x14ac:dyDescent="0.3"/>
  <cols>
    <col min="1" max="1" width="38.109375" customWidth="1"/>
    <col min="2" max="2" width="28.109375" customWidth="1"/>
    <col min="3" max="4" width="17.6640625" hidden="1" customWidth="1"/>
    <col min="5" max="5" width="21.109375" customWidth="1"/>
    <col min="6" max="6" width="22.44140625" customWidth="1"/>
    <col min="7" max="7" width="29.109375" customWidth="1"/>
    <col min="8" max="8" width="21" customWidth="1"/>
    <col min="9" max="9" width="44.44140625" customWidth="1"/>
    <col min="10" max="10" width="19.5546875" customWidth="1"/>
    <col min="11" max="11" width="20.88671875" customWidth="1"/>
    <col min="12" max="12" width="19.5546875" customWidth="1"/>
    <col min="13" max="13" width="20.33203125" customWidth="1"/>
    <col min="14" max="15" width="18.33203125" customWidth="1"/>
    <col min="16" max="16" width="22.33203125" customWidth="1"/>
  </cols>
  <sheetData>
    <row r="2" spans="1:772" s="410" customFormat="1" ht="51" customHeight="1" x14ac:dyDescent="0.3">
      <c r="A2" s="2372"/>
      <c r="B2" s="2091" t="s">
        <v>1772</v>
      </c>
      <c r="C2" s="2092"/>
      <c r="D2" s="2092"/>
      <c r="E2" s="2092"/>
      <c r="F2" s="2092"/>
      <c r="G2" s="2092"/>
      <c r="H2" s="2092"/>
      <c r="I2" s="2092"/>
      <c r="J2" s="2092"/>
      <c r="K2" s="2092"/>
      <c r="L2" s="2093"/>
      <c r="M2" s="2374" t="s">
        <v>1688</v>
      </c>
      <c r="N2" s="2375"/>
      <c r="V2" s="860" t="s">
        <v>777</v>
      </c>
      <c r="ACR2" s="410" t="s">
        <v>1531</v>
      </c>
    </row>
    <row r="3" spans="1:772" ht="41.25" customHeight="1" x14ac:dyDescent="0.3">
      <c r="A3" s="2373"/>
      <c r="B3" s="2094"/>
      <c r="C3" s="2095"/>
      <c r="D3" s="2095"/>
      <c r="E3" s="2095"/>
      <c r="F3" s="2095"/>
      <c r="G3" s="2095"/>
      <c r="H3" s="2095"/>
      <c r="I3" s="2095"/>
      <c r="J3" s="2095"/>
      <c r="K3" s="2095"/>
      <c r="L3" s="2096"/>
      <c r="M3" s="2376" t="s">
        <v>1689</v>
      </c>
      <c r="N3" s="2377"/>
      <c r="ACR3" t="s">
        <v>1532</v>
      </c>
    </row>
    <row r="4" spans="1:772" ht="21" x14ac:dyDescent="0.4">
      <c r="A4" s="2378" t="s">
        <v>1678</v>
      </c>
      <c r="B4" s="2378"/>
      <c r="C4" s="2378"/>
      <c r="D4" s="2378"/>
      <c r="E4" s="2378"/>
      <c r="F4" s="2378"/>
      <c r="G4" s="2378"/>
      <c r="H4" s="2378"/>
      <c r="I4" s="861"/>
      <c r="J4" s="861"/>
      <c r="M4" s="861"/>
      <c r="ACR4" s="410" t="s">
        <v>1533</v>
      </c>
    </row>
    <row r="5" spans="1:772" x14ac:dyDescent="0.3">
      <c r="A5" s="862"/>
      <c r="B5" s="862"/>
      <c r="C5" s="862"/>
      <c r="D5" s="862"/>
      <c r="E5" s="862"/>
      <c r="F5" s="862"/>
      <c r="G5" s="862"/>
      <c r="H5" s="862"/>
      <c r="I5" s="861"/>
      <c r="J5" s="861"/>
      <c r="M5" s="861"/>
      <c r="ACR5" t="s">
        <v>1534</v>
      </c>
    </row>
    <row r="6" spans="1:772" s="302" customFormat="1" ht="32.25" customHeight="1" x14ac:dyDescent="0.4">
      <c r="A6" s="724" t="s">
        <v>0</v>
      </c>
      <c r="B6" s="2379" t="str">
        <f>+FENECIMIENTO!D4</f>
        <v xml:space="preserve">80000 - DIRECCIÓN SECTOR MOVILIDAD </v>
      </c>
      <c r="C6" s="2379"/>
      <c r="D6" s="2379"/>
      <c r="E6" s="2379"/>
      <c r="F6" s="2379"/>
      <c r="G6" s="619"/>
      <c r="H6" s="619"/>
      <c r="I6" s="818"/>
      <c r="J6" s="818"/>
      <c r="K6" s="818"/>
    </row>
    <row r="7" spans="1:772" s="302" customFormat="1" ht="31.5" customHeight="1" x14ac:dyDescent="0.4">
      <c r="A7" s="819" t="s">
        <v>1186</v>
      </c>
      <c r="B7" s="2380" t="str">
        <f>+FENECIMIENTO!D5</f>
        <v>204 - Instituto de Desarrollo Urbano – IDU</v>
      </c>
      <c r="C7" s="2381"/>
      <c r="D7" s="2381"/>
      <c r="E7" s="2381"/>
      <c r="F7" s="2381"/>
      <c r="H7" s="724" t="s">
        <v>2</v>
      </c>
      <c r="I7" s="933">
        <f>+FENECIMIENTO!K5</f>
        <v>2024</v>
      </c>
      <c r="J7" s="732"/>
      <c r="K7" s="726"/>
    </row>
    <row r="8" spans="1:772" s="302" customFormat="1" ht="19.95" customHeight="1" x14ac:dyDescent="0.4">
      <c r="A8" s="724" t="s">
        <v>1680</v>
      </c>
      <c r="B8" s="2381">
        <f>+FENECIMIENTO!D6</f>
        <v>2025</v>
      </c>
      <c r="C8" s="2381"/>
      <c r="D8" s="2381"/>
      <c r="E8" s="820"/>
      <c r="F8" s="821"/>
      <c r="H8" s="724" t="s">
        <v>3</v>
      </c>
      <c r="I8" s="932">
        <f>+FENECIMIENTO!K6</f>
        <v>87</v>
      </c>
      <c r="J8" s="732"/>
      <c r="K8" s="726"/>
      <c r="L8" s="822"/>
    </row>
    <row r="9" spans="1:772" s="302" customFormat="1" ht="24.6" customHeight="1" x14ac:dyDescent="0.4">
      <c r="A9" s="724" t="s">
        <v>4</v>
      </c>
      <c r="B9" s="2382">
        <f>+FENECIMIENTO!D7</f>
        <v>45693</v>
      </c>
      <c r="C9" s="2382"/>
      <c r="D9" s="2382"/>
      <c r="E9" s="2382"/>
      <c r="F9" s="2382"/>
      <c r="H9" s="1589" t="s">
        <v>1187</v>
      </c>
      <c r="I9" s="1131">
        <f>+FENECIMIENTO!K7</f>
        <v>45693</v>
      </c>
      <c r="J9" s="732"/>
      <c r="K9" s="732"/>
      <c r="L9" s="822"/>
    </row>
    <row r="10" spans="1:772" s="302" customFormat="1" ht="19.95" customHeight="1" thickBot="1" x14ac:dyDescent="0.45">
      <c r="B10" s="724"/>
      <c r="C10" s="1120"/>
      <c r="D10" s="1120"/>
      <c r="E10" s="1120"/>
      <c r="I10" s="725"/>
      <c r="J10" s="933"/>
      <c r="K10" s="732"/>
      <c r="L10" s="732"/>
      <c r="M10" s="822"/>
    </row>
    <row r="11" spans="1:772" ht="42" thickTop="1" x14ac:dyDescent="0.3">
      <c r="A11" s="863" t="s">
        <v>1535</v>
      </c>
      <c r="B11" s="863" t="s">
        <v>1536</v>
      </c>
      <c r="C11" s="863" t="s">
        <v>1537</v>
      </c>
      <c r="D11" s="863" t="s">
        <v>1538</v>
      </c>
      <c r="E11" s="863" t="s">
        <v>1012</v>
      </c>
      <c r="F11" s="863" t="s">
        <v>1013</v>
      </c>
      <c r="G11" s="863" t="s">
        <v>193</v>
      </c>
      <c r="H11" s="863" t="s">
        <v>195</v>
      </c>
      <c r="I11" s="2369" t="s">
        <v>1616</v>
      </c>
      <c r="J11" s="2370"/>
      <c r="K11" s="2370"/>
      <c r="L11" s="2370"/>
      <c r="M11" s="2371"/>
    </row>
    <row r="12" spans="1:772" ht="55.2" x14ac:dyDescent="0.3">
      <c r="A12" s="864" t="s">
        <v>1539</v>
      </c>
      <c r="B12" s="865">
        <v>0.35</v>
      </c>
      <c r="C12" s="865">
        <f t="shared" ref="C12:D15" si="0">IF(ISNUMBER(G12),$B12,0)</f>
        <v>0.35</v>
      </c>
      <c r="D12" s="865">
        <f t="shared" si="0"/>
        <v>0.35</v>
      </c>
      <c r="E12" s="865">
        <f>IFERROR(C12/$C$16,"")</f>
        <v>0.35</v>
      </c>
      <c r="F12" s="865">
        <f>IFERROR(D12/$D$16,"")</f>
        <v>0.35</v>
      </c>
      <c r="G12" s="866">
        <f>IF(COUNTIF(I25:I30,"EFICACIA"),AVERAGEIF($I25:$I30,"EFICACIA",$L$25:$L$30),"")</f>
        <v>0.49590000000000001</v>
      </c>
      <c r="H12" s="866">
        <f>IF(COUNTIF(I25:I30,"EFICIENCIA"),AVERAGEIF($I25:$I30,"EFICIENCIA",$L$25:$L$30),"")</f>
        <v>1</v>
      </c>
      <c r="I12" s="867" t="s">
        <v>1540</v>
      </c>
      <c r="J12" s="868" t="s">
        <v>171</v>
      </c>
      <c r="K12" s="868" t="s">
        <v>179</v>
      </c>
      <c r="L12" s="2387" t="s">
        <v>200</v>
      </c>
      <c r="M12" s="2388"/>
    </row>
    <row r="13" spans="1:772" ht="17.399999999999999" x14ac:dyDescent="0.3">
      <c r="A13" s="869" t="s">
        <v>1541</v>
      </c>
      <c r="B13" s="865">
        <v>0.35</v>
      </c>
      <c r="C13" s="865">
        <f t="shared" si="0"/>
        <v>0.35</v>
      </c>
      <c r="D13" s="865">
        <f t="shared" si="0"/>
        <v>0.35</v>
      </c>
      <c r="E13" s="865">
        <f>IFERROR(C13/$C$16,"")</f>
        <v>0.35</v>
      </c>
      <c r="F13" s="865">
        <f>IFERROR(D13/$D$16,"")</f>
        <v>0.35</v>
      </c>
      <c r="G13" s="866">
        <f>IF(COUNTIF(I25:I30,"EFICACIA"),AVERAGEIF($I31:$I35,"EFICACIA",$L$31:$L$35),"")</f>
        <v>0.8125</v>
      </c>
      <c r="H13" s="866">
        <f>IF(COUNTIF(I31:I35,"EFICIENCIA"),AVERAGEIF($I31:$I35,"EFICIENCIA",$L$31:$L$35),"")</f>
        <v>1</v>
      </c>
      <c r="I13" s="870" t="s">
        <v>193</v>
      </c>
      <c r="J13" s="871" t="s">
        <v>1542</v>
      </c>
      <c r="K13" s="872">
        <f>G16</f>
        <v>0.59153374999999997</v>
      </c>
      <c r="L13" s="2389" t="str">
        <f>IF(K13="","",IF(K13&gt;=75%,"EFICAZ","INEFICAZ"))</f>
        <v>INEFICAZ</v>
      </c>
      <c r="M13" s="2390"/>
    </row>
    <row r="14" spans="1:772" ht="17.399999999999999" x14ac:dyDescent="0.3">
      <c r="A14" s="869" t="s">
        <v>1543</v>
      </c>
      <c r="B14" s="865">
        <v>0.15</v>
      </c>
      <c r="C14" s="865">
        <f t="shared" si="0"/>
        <v>0.15</v>
      </c>
      <c r="D14" s="865">
        <f t="shared" si="0"/>
        <v>0.15</v>
      </c>
      <c r="E14" s="865">
        <f>IFERROR(C14/$C$16,"")</f>
        <v>0.15</v>
      </c>
      <c r="F14" s="865">
        <f>IFERROR(D14/$D$16,"")</f>
        <v>0.15</v>
      </c>
      <c r="G14" s="866">
        <f>IF(COUNTIF(I25:I30,"EFICACIA"),AVERAGEIF($I36:$I40,"EFICACIA",$L$36:$L$40),"")</f>
        <v>0</v>
      </c>
      <c r="H14" s="866">
        <f>IF(COUNTIF(I36:I40,"EFICIENCIA"),AVERAGEIF($I36:$I40,"EFICIENCIA",$L$36:$L$40),"")</f>
        <v>0.66666666666666663</v>
      </c>
      <c r="I14" s="873" t="s">
        <v>195</v>
      </c>
      <c r="J14" s="871" t="s">
        <v>1542</v>
      </c>
      <c r="K14" s="872">
        <f>+H16</f>
        <v>0.95</v>
      </c>
      <c r="L14" s="2391" t="str">
        <f>IF(K14="","",IF(K14&gt;=75%,"EFICIENTE","INEFICIENTE"))</f>
        <v>EFICIENTE</v>
      </c>
      <c r="M14" s="2392"/>
    </row>
    <row r="15" spans="1:772" x14ac:dyDescent="0.3">
      <c r="A15" s="869" t="s">
        <v>1544</v>
      </c>
      <c r="B15" s="865">
        <v>0.15</v>
      </c>
      <c r="C15" s="865">
        <f t="shared" si="0"/>
        <v>0.15</v>
      </c>
      <c r="D15" s="865">
        <f t="shared" si="0"/>
        <v>0.15</v>
      </c>
      <c r="E15" s="865">
        <f>IFERROR(C15/$C$16,"")</f>
        <v>0.15</v>
      </c>
      <c r="F15" s="865">
        <f>IFERROR(D15/$D$16,"")</f>
        <v>0.15</v>
      </c>
      <c r="G15" s="866">
        <f>IF(COUNTIF(I25:I30,"EFICACIA"),AVERAGEIF($I41:$I46,"EFICACIA",$L$41:$L$46),"")</f>
        <v>0.890625</v>
      </c>
      <c r="H15" s="866">
        <f>IF(COUNTIF(I41:I46,"EFICIENCIA"),AVERAGEIF($I41:$I46,"EFICIENCIA",$L$41:$L$46),"")</f>
        <v>1</v>
      </c>
    </row>
    <row r="16" spans="1:772" ht="15" thickBot="1" x14ac:dyDescent="0.35">
      <c r="A16" s="874" t="s">
        <v>1545</v>
      </c>
      <c r="B16" s="875">
        <v>1</v>
      </c>
      <c r="C16" s="875">
        <f>SUM(C12:C15)</f>
        <v>1</v>
      </c>
      <c r="D16" s="875">
        <f>SUM(D12:D15)</f>
        <v>1</v>
      </c>
      <c r="E16" s="875">
        <f>SUM(E12:E15)</f>
        <v>1</v>
      </c>
      <c r="F16" s="875">
        <f>SUM(F12:F15)</f>
        <v>1</v>
      </c>
      <c r="G16" s="876">
        <f>+SUMPRODUCT(E12:E15,G12:G15)</f>
        <v>0.59153374999999997</v>
      </c>
      <c r="H16" s="876">
        <f>+SUMPRODUCT(F12:F15,H12:H15)</f>
        <v>0.95</v>
      </c>
      <c r="I16" s="861"/>
      <c r="J16" s="861"/>
    </row>
    <row r="17" spans="1:14" x14ac:dyDescent="0.3">
      <c r="A17" s="877" t="s">
        <v>195</v>
      </c>
      <c r="B17" s="878" t="s">
        <v>1023</v>
      </c>
      <c r="C17" s="879"/>
      <c r="D17" s="879"/>
      <c r="E17" s="880"/>
      <c r="F17" s="880"/>
      <c r="G17" s="880"/>
      <c r="H17" s="880"/>
      <c r="I17" s="2393" t="s">
        <v>1546</v>
      </c>
      <c r="J17" s="2394"/>
    </row>
    <row r="18" spans="1:14" x14ac:dyDescent="0.3">
      <c r="A18" s="881" t="s">
        <v>193</v>
      </c>
      <c r="B18" s="882" t="s">
        <v>1024</v>
      </c>
      <c r="C18" s="879"/>
      <c r="D18" s="879"/>
      <c r="E18" s="883"/>
      <c r="F18" s="883"/>
      <c r="G18" s="883"/>
      <c r="H18" s="884"/>
      <c r="I18" s="2395"/>
      <c r="J18" s="2396"/>
    </row>
    <row r="19" spans="1:14" ht="15" thickBot="1" x14ac:dyDescent="0.35">
      <c r="A19" s="885" t="s">
        <v>1547</v>
      </c>
      <c r="B19" s="1599"/>
      <c r="C19" s="886"/>
      <c r="D19" s="886"/>
      <c r="E19" s="883"/>
      <c r="F19" s="883"/>
      <c r="G19" s="883"/>
      <c r="H19" s="884"/>
      <c r="I19" s="2395"/>
      <c r="J19" s="2396"/>
    </row>
    <row r="20" spans="1:14" ht="16.2" thickTop="1" x14ac:dyDescent="0.3">
      <c r="G20" s="887"/>
      <c r="H20" s="861"/>
      <c r="I20" s="2395"/>
      <c r="J20" s="2396"/>
    </row>
    <row r="21" spans="1:14" ht="15" thickBot="1" x14ac:dyDescent="0.35">
      <c r="A21" s="888"/>
      <c r="B21" s="861"/>
      <c r="C21" s="861"/>
      <c r="D21" s="861"/>
      <c r="E21" s="861"/>
      <c r="F21" s="861"/>
      <c r="G21" s="861"/>
      <c r="H21" s="861"/>
      <c r="I21" s="2395"/>
      <c r="J21" s="2396"/>
    </row>
    <row r="22" spans="1:14" ht="21.6" thickBot="1" x14ac:dyDescent="0.35">
      <c r="A22" s="2397" t="s">
        <v>1548</v>
      </c>
      <c r="B22" s="2398"/>
      <c r="C22" s="2398"/>
      <c r="D22" s="2398"/>
      <c r="E22" s="2398"/>
      <c r="F22" s="2398"/>
      <c r="G22" s="2398"/>
      <c r="H22" s="2398"/>
      <c r="I22" s="2398"/>
      <c r="J22" s="2398"/>
      <c r="K22" s="2398"/>
      <c r="L22" s="2398"/>
      <c r="M22" s="2398"/>
      <c r="N22" s="2399"/>
    </row>
    <row r="23" spans="1:14" ht="15" thickBot="1" x14ac:dyDescent="0.35">
      <c r="A23" s="889"/>
      <c r="B23" s="890"/>
      <c r="C23" s="890"/>
      <c r="D23" s="890"/>
      <c r="E23" s="890"/>
      <c r="F23" s="890"/>
      <c r="G23" s="890"/>
      <c r="H23" s="890"/>
      <c r="I23" s="890"/>
      <c r="J23" s="890"/>
      <c r="K23" s="861"/>
      <c r="L23" s="861"/>
      <c r="M23" s="861"/>
    </row>
    <row r="24" spans="1:14" ht="46.8" x14ac:dyDescent="0.3">
      <c r="A24" s="891" t="s">
        <v>1549</v>
      </c>
      <c r="B24" s="892" t="s">
        <v>1550</v>
      </c>
      <c r="C24" s="892"/>
      <c r="D24" s="892"/>
      <c r="E24" s="892" t="s">
        <v>1551</v>
      </c>
      <c r="F24" s="892" t="s">
        <v>1552</v>
      </c>
      <c r="G24" s="892" t="s">
        <v>1553</v>
      </c>
      <c r="H24" s="892" t="s">
        <v>1554</v>
      </c>
      <c r="I24" s="892" t="s">
        <v>209</v>
      </c>
      <c r="J24" s="892" t="s">
        <v>1555</v>
      </c>
      <c r="K24" s="892" t="s">
        <v>1556</v>
      </c>
      <c r="L24" s="892" t="s">
        <v>211</v>
      </c>
      <c r="M24" s="892" t="s">
        <v>1557</v>
      </c>
      <c r="N24" s="892" t="s">
        <v>1558</v>
      </c>
    </row>
    <row r="25" spans="1:14" ht="15" x14ac:dyDescent="0.3">
      <c r="A25" s="2383" t="s">
        <v>1539</v>
      </c>
      <c r="B25" s="1519"/>
      <c r="C25" s="1519"/>
      <c r="D25" s="1519"/>
      <c r="E25" s="1520"/>
      <c r="F25" s="1520"/>
      <c r="G25" s="1521"/>
      <c r="H25" s="1522"/>
      <c r="I25" s="1523" t="s">
        <v>1532</v>
      </c>
      <c r="J25" s="1524">
        <v>1</v>
      </c>
      <c r="K25" s="1525">
        <v>0.98360000000000003</v>
      </c>
      <c r="L25" s="893">
        <f>IFERROR(IF(K25/J25&gt;1,100%,K25/J25),"")</f>
        <v>0.98360000000000003</v>
      </c>
      <c r="M25" s="894"/>
      <c r="N25" s="894"/>
    </row>
    <row r="26" spans="1:14" ht="17.399999999999999" x14ac:dyDescent="0.3">
      <c r="A26" s="2384"/>
      <c r="B26" s="1526"/>
      <c r="C26" s="1526"/>
      <c r="D26" s="1526"/>
      <c r="E26" s="1520"/>
      <c r="F26" s="1520"/>
      <c r="G26" s="1521"/>
      <c r="H26" s="1522"/>
      <c r="I26" s="1523" t="s">
        <v>1533</v>
      </c>
      <c r="J26" s="1524">
        <v>0.4</v>
      </c>
      <c r="K26" s="1525">
        <v>0.5</v>
      </c>
      <c r="L26" s="893">
        <f>IFERROR(IF(K26/J26&gt;1,100%,K26/J26),"")</f>
        <v>1</v>
      </c>
      <c r="M26" s="894"/>
      <c r="N26" s="894"/>
    </row>
    <row r="27" spans="1:14" ht="17.399999999999999" x14ac:dyDescent="0.3">
      <c r="A27" s="2384"/>
      <c r="B27" s="1526"/>
      <c r="C27" s="1526"/>
      <c r="D27" s="1526"/>
      <c r="E27" s="1520"/>
      <c r="F27" s="1520"/>
      <c r="G27" s="1521"/>
      <c r="H27" s="1522"/>
      <c r="I27" s="1523"/>
      <c r="J27" s="1524"/>
      <c r="K27" s="1525"/>
      <c r="L27" s="893"/>
      <c r="M27" s="894"/>
      <c r="N27" s="894"/>
    </row>
    <row r="28" spans="1:14" ht="17.399999999999999" x14ac:dyDescent="0.3">
      <c r="A28" s="2384"/>
      <c r="B28" s="1526"/>
      <c r="C28" s="1526"/>
      <c r="D28" s="1526"/>
      <c r="E28" s="1520"/>
      <c r="F28" s="1520"/>
      <c r="G28" s="1521"/>
      <c r="H28" s="1522"/>
      <c r="I28" s="1523" t="s">
        <v>1532</v>
      </c>
      <c r="J28" s="1524">
        <v>0.8</v>
      </c>
      <c r="K28" s="1525">
        <v>0</v>
      </c>
      <c r="L28" s="893">
        <f t="shared" ref="L28:L46" si="1">IFERROR(IF(K28/J28&gt;1,100%,K28/J28),"")</f>
        <v>0</v>
      </c>
      <c r="M28" s="894"/>
      <c r="N28" s="894"/>
    </row>
    <row r="29" spans="1:14" ht="17.399999999999999" x14ac:dyDescent="0.3">
      <c r="A29" s="2384"/>
      <c r="B29" s="1526"/>
      <c r="C29" s="1526"/>
      <c r="D29" s="1526"/>
      <c r="E29" s="1520"/>
      <c r="F29" s="1520"/>
      <c r="G29" s="1521"/>
      <c r="H29" s="1522"/>
      <c r="I29" s="1523" t="s">
        <v>1532</v>
      </c>
      <c r="J29" s="1524">
        <v>0.9</v>
      </c>
      <c r="K29" s="1525">
        <v>0</v>
      </c>
      <c r="L29" s="893">
        <f t="shared" si="1"/>
        <v>0</v>
      </c>
      <c r="M29" s="894"/>
      <c r="N29" s="894"/>
    </row>
    <row r="30" spans="1:14" ht="17.399999999999999" x14ac:dyDescent="0.3">
      <c r="A30" s="2385"/>
      <c r="B30" s="1526"/>
      <c r="C30" s="1526"/>
      <c r="D30" s="1526"/>
      <c r="E30" s="1520"/>
      <c r="F30" s="1520"/>
      <c r="G30" s="1521"/>
      <c r="H30" s="1522"/>
      <c r="I30" s="1523" t="s">
        <v>1532</v>
      </c>
      <c r="J30" s="1524">
        <v>0.4</v>
      </c>
      <c r="K30" s="1525">
        <v>0.5</v>
      </c>
      <c r="L30" s="893">
        <f t="shared" si="1"/>
        <v>1</v>
      </c>
      <c r="M30" s="894"/>
      <c r="N30" s="894"/>
    </row>
    <row r="31" spans="1:14" ht="17.399999999999999" x14ac:dyDescent="0.3">
      <c r="A31" s="2383" t="s">
        <v>1541</v>
      </c>
      <c r="B31" s="1526"/>
      <c r="C31" s="1526"/>
      <c r="D31" s="1526"/>
      <c r="E31" s="1520"/>
      <c r="F31" s="1520"/>
      <c r="G31" s="1521"/>
      <c r="H31" s="1527"/>
      <c r="I31" s="1523" t="s">
        <v>1532</v>
      </c>
      <c r="J31" s="1524">
        <v>0.4</v>
      </c>
      <c r="K31" s="1525">
        <v>0.5</v>
      </c>
      <c r="L31" s="893">
        <f t="shared" si="1"/>
        <v>1</v>
      </c>
      <c r="M31" s="894"/>
      <c r="N31" s="894"/>
    </row>
    <row r="32" spans="1:14" ht="17.399999999999999" x14ac:dyDescent="0.3">
      <c r="A32" s="2384"/>
      <c r="B32" s="1526"/>
      <c r="C32" s="1526"/>
      <c r="D32" s="1526"/>
      <c r="E32" s="1520"/>
      <c r="F32" s="1520"/>
      <c r="G32" s="1521"/>
      <c r="H32" s="1527"/>
      <c r="I32" s="1523" t="s">
        <v>1533</v>
      </c>
      <c r="J32" s="1524">
        <v>0.4</v>
      </c>
      <c r="K32" s="1525">
        <v>0.5</v>
      </c>
      <c r="L32" s="893">
        <f t="shared" si="1"/>
        <v>1</v>
      </c>
      <c r="M32" s="894"/>
      <c r="N32" s="894"/>
    </row>
    <row r="33" spans="1:14" ht="17.399999999999999" x14ac:dyDescent="0.3">
      <c r="A33" s="2384"/>
      <c r="B33" s="1526"/>
      <c r="C33" s="1526"/>
      <c r="D33" s="1526"/>
      <c r="E33" s="1520"/>
      <c r="F33" s="1520"/>
      <c r="G33" s="1521"/>
      <c r="H33" s="1527"/>
      <c r="I33" s="1523" t="s">
        <v>1532</v>
      </c>
      <c r="J33" s="1524">
        <v>0.8</v>
      </c>
      <c r="K33" s="1525">
        <v>0.5</v>
      </c>
      <c r="L33" s="893">
        <f t="shared" si="1"/>
        <v>0.625</v>
      </c>
      <c r="M33" s="894"/>
      <c r="N33" s="894"/>
    </row>
    <row r="34" spans="1:14" ht="17.399999999999999" x14ac:dyDescent="0.3">
      <c r="A34" s="2384"/>
      <c r="B34" s="1526"/>
      <c r="C34" s="1526"/>
      <c r="D34" s="1526"/>
      <c r="E34" s="1520"/>
      <c r="F34" s="1520"/>
      <c r="G34" s="1521"/>
      <c r="H34" s="1527"/>
      <c r="I34" s="1523" t="s">
        <v>1533</v>
      </c>
      <c r="J34" s="1524">
        <v>0.5</v>
      </c>
      <c r="K34" s="1525">
        <v>0.5</v>
      </c>
      <c r="L34" s="893">
        <f t="shared" si="1"/>
        <v>1</v>
      </c>
      <c r="M34" s="894"/>
      <c r="N34" s="894"/>
    </row>
    <row r="35" spans="1:14" ht="17.399999999999999" x14ac:dyDescent="0.3">
      <c r="A35" s="2385"/>
      <c r="B35" s="1526"/>
      <c r="C35" s="1526"/>
      <c r="D35" s="1526"/>
      <c r="E35" s="1520"/>
      <c r="F35" s="1520"/>
      <c r="G35" s="1521"/>
      <c r="H35" s="1527"/>
      <c r="I35" s="1523"/>
      <c r="J35" s="1524"/>
      <c r="K35" s="1525"/>
      <c r="L35" s="893" t="str">
        <f t="shared" si="1"/>
        <v/>
      </c>
      <c r="M35" s="894"/>
      <c r="N35" s="894"/>
    </row>
    <row r="36" spans="1:14" ht="17.399999999999999" x14ac:dyDescent="0.3">
      <c r="A36" s="2383" t="s">
        <v>1543</v>
      </c>
      <c r="B36" s="1526"/>
      <c r="C36" s="1526"/>
      <c r="D36" s="1526"/>
      <c r="E36" s="1520"/>
      <c r="F36" s="1520"/>
      <c r="G36" s="1520"/>
      <c r="H36" s="1520"/>
      <c r="I36" s="1523" t="s">
        <v>1533</v>
      </c>
      <c r="J36" s="1524">
        <v>0.4</v>
      </c>
      <c r="K36" s="1525">
        <v>0.5</v>
      </c>
      <c r="L36" s="893">
        <f t="shared" si="1"/>
        <v>1</v>
      </c>
      <c r="M36" s="894"/>
      <c r="N36" s="894"/>
    </row>
    <row r="37" spans="1:14" ht="17.399999999999999" x14ac:dyDescent="0.3">
      <c r="A37" s="2384"/>
      <c r="B37" s="1526"/>
      <c r="C37" s="1526"/>
      <c r="D37" s="1526"/>
      <c r="E37" s="1520"/>
      <c r="F37" s="1520"/>
      <c r="G37" s="1520"/>
      <c r="H37" s="1520"/>
      <c r="I37" s="1523" t="s">
        <v>1533</v>
      </c>
      <c r="J37" s="1524">
        <v>0.4</v>
      </c>
      <c r="K37" s="1525">
        <v>0.5</v>
      </c>
      <c r="L37" s="893">
        <v>0</v>
      </c>
      <c r="M37" s="894"/>
      <c r="N37" s="894"/>
    </row>
    <row r="38" spans="1:14" ht="17.399999999999999" x14ac:dyDescent="0.3">
      <c r="A38" s="2384"/>
      <c r="B38" s="1526"/>
      <c r="C38" s="1526"/>
      <c r="D38" s="1526"/>
      <c r="E38" s="1520"/>
      <c r="F38" s="1520"/>
      <c r="G38" s="1520"/>
      <c r="H38" s="1520"/>
      <c r="I38" s="1523" t="s">
        <v>1532</v>
      </c>
      <c r="J38" s="1524">
        <v>0.4</v>
      </c>
      <c r="K38" s="1525">
        <v>0.5</v>
      </c>
      <c r="L38" s="893">
        <v>0</v>
      </c>
      <c r="M38" s="894"/>
      <c r="N38" s="894"/>
    </row>
    <row r="39" spans="1:14" ht="17.399999999999999" x14ac:dyDescent="0.3">
      <c r="A39" s="2384"/>
      <c r="B39" s="1526"/>
      <c r="C39" s="1526"/>
      <c r="D39" s="1526"/>
      <c r="E39" s="1520"/>
      <c r="F39" s="1520"/>
      <c r="G39" s="1520"/>
      <c r="H39" s="1520"/>
      <c r="I39" s="1523" t="s">
        <v>1533</v>
      </c>
      <c r="J39" s="1524">
        <v>0.4</v>
      </c>
      <c r="K39" s="1525">
        <v>0.5</v>
      </c>
      <c r="L39" s="893">
        <f t="shared" si="1"/>
        <v>1</v>
      </c>
      <c r="M39" s="894"/>
      <c r="N39" s="894"/>
    </row>
    <row r="40" spans="1:14" ht="17.399999999999999" x14ac:dyDescent="0.3">
      <c r="A40" s="2385"/>
      <c r="B40" s="1526"/>
      <c r="C40" s="1526"/>
      <c r="D40" s="1526"/>
      <c r="E40" s="1520"/>
      <c r="F40" s="1520"/>
      <c r="G40" s="1520"/>
      <c r="H40" s="1520"/>
      <c r="I40" s="1523"/>
      <c r="J40" s="1524"/>
      <c r="K40" s="1525"/>
      <c r="L40" s="893" t="str">
        <f t="shared" si="1"/>
        <v/>
      </c>
      <c r="M40" s="894"/>
      <c r="N40" s="894"/>
    </row>
    <row r="41" spans="1:14" ht="17.399999999999999" x14ac:dyDescent="0.3">
      <c r="A41" s="2386" t="s">
        <v>1544</v>
      </c>
      <c r="B41" s="1526"/>
      <c r="C41" s="1526"/>
      <c r="D41" s="1526"/>
      <c r="E41" s="1528"/>
      <c r="F41" s="1528"/>
      <c r="G41" s="1520"/>
      <c r="H41" s="1520"/>
      <c r="I41" s="1523" t="s">
        <v>1532</v>
      </c>
      <c r="J41" s="1524">
        <v>0.64</v>
      </c>
      <c r="K41" s="1525">
        <v>0.5</v>
      </c>
      <c r="L41" s="893">
        <f t="shared" si="1"/>
        <v>0.78125</v>
      </c>
      <c r="M41" s="894"/>
      <c r="N41" s="894"/>
    </row>
    <row r="42" spans="1:14" ht="17.399999999999999" x14ac:dyDescent="0.3">
      <c r="A42" s="2386"/>
      <c r="B42" s="1526"/>
      <c r="C42" s="1526"/>
      <c r="D42" s="1526"/>
      <c r="E42" s="1528"/>
      <c r="F42" s="1528"/>
      <c r="G42" s="1528"/>
      <c r="H42" s="1528"/>
      <c r="I42" s="1523" t="s">
        <v>1532</v>
      </c>
      <c r="J42" s="1524">
        <v>0.4</v>
      </c>
      <c r="K42" s="1525">
        <v>0.5</v>
      </c>
      <c r="L42" s="893">
        <f t="shared" si="1"/>
        <v>1</v>
      </c>
      <c r="M42" s="894"/>
      <c r="N42" s="894"/>
    </row>
    <row r="43" spans="1:14" ht="17.399999999999999" x14ac:dyDescent="0.3">
      <c r="A43" s="2386"/>
      <c r="B43" s="1526"/>
      <c r="C43" s="1526"/>
      <c r="D43" s="1526"/>
      <c r="E43" s="1520"/>
      <c r="F43" s="1520"/>
      <c r="G43" s="1520"/>
      <c r="H43" s="1520"/>
      <c r="I43" s="1523" t="s">
        <v>1533</v>
      </c>
      <c r="J43" s="1524">
        <v>0.4</v>
      </c>
      <c r="K43" s="1525">
        <v>0.5</v>
      </c>
      <c r="L43" s="893">
        <f t="shared" si="1"/>
        <v>1</v>
      </c>
      <c r="M43" s="894"/>
      <c r="N43" s="894"/>
    </row>
    <row r="44" spans="1:14" ht="17.399999999999999" x14ac:dyDescent="0.3">
      <c r="A44" s="2386"/>
      <c r="B44" s="1526"/>
      <c r="C44" s="1526"/>
      <c r="D44" s="1526"/>
      <c r="E44" s="1520"/>
      <c r="F44" s="1520"/>
      <c r="G44" s="1520"/>
      <c r="H44" s="1520"/>
      <c r="I44" s="1523"/>
      <c r="J44" s="1524">
        <v>0.95</v>
      </c>
      <c r="K44" s="1525">
        <v>0.5</v>
      </c>
      <c r="L44" s="893">
        <f t="shared" si="1"/>
        <v>0.52631578947368418</v>
      </c>
      <c r="M44" s="894"/>
      <c r="N44" s="894"/>
    </row>
    <row r="45" spans="1:14" ht="17.399999999999999" x14ac:dyDescent="0.3">
      <c r="A45" s="2386"/>
      <c r="B45" s="1526"/>
      <c r="C45" s="1526"/>
      <c r="D45" s="1526"/>
      <c r="E45" s="1520"/>
      <c r="F45" s="1520"/>
      <c r="G45" s="1520"/>
      <c r="H45" s="1520"/>
      <c r="I45" s="1523"/>
      <c r="J45" s="1524"/>
      <c r="K45" s="1525"/>
      <c r="L45" s="893" t="str">
        <f t="shared" si="1"/>
        <v/>
      </c>
      <c r="M45" s="894"/>
      <c r="N45" s="894"/>
    </row>
    <row r="46" spans="1:14" ht="17.399999999999999" x14ac:dyDescent="0.3">
      <c r="A46" s="2386"/>
      <c r="B46" s="1526"/>
      <c r="C46" s="1526"/>
      <c r="D46" s="1526"/>
      <c r="E46" s="1520"/>
      <c r="F46" s="1520"/>
      <c r="G46" s="1520"/>
      <c r="H46" s="1520"/>
      <c r="I46" s="1523"/>
      <c r="J46" s="1524">
        <v>0.4</v>
      </c>
      <c r="K46" s="1525">
        <v>0.5</v>
      </c>
      <c r="L46" s="893">
        <f t="shared" si="1"/>
        <v>1</v>
      </c>
      <c r="M46" s="894"/>
      <c r="N46" s="894"/>
    </row>
  </sheetData>
  <sheetProtection algorithmName="SHA-512" hashValue="hR7Mh2tUlpB73Sdm/sDKGWlhiS7bGA5gyCd8AETpSOtzYpwHrvlSe2ivgxGvKZopV5WuWXwvWeiAwM9ei95Zzw==" saltValue="HL28cUVpk+xj1qtj+b8oYw==" spinCount="100000" sheet="1" objects="1" scenarios="1"/>
  <mergeCells count="19">
    <mergeCell ref="A25:A30"/>
    <mergeCell ref="A31:A35"/>
    <mergeCell ref="A36:A40"/>
    <mergeCell ref="A41:A46"/>
    <mergeCell ref="L12:M12"/>
    <mergeCell ref="L13:M13"/>
    <mergeCell ref="L14:M14"/>
    <mergeCell ref="I17:J21"/>
    <mergeCell ref="A22:N22"/>
    <mergeCell ref="I11:M11"/>
    <mergeCell ref="A2:A3"/>
    <mergeCell ref="B2:L3"/>
    <mergeCell ref="M2:N2"/>
    <mergeCell ref="M3:N3"/>
    <mergeCell ref="A4:H4"/>
    <mergeCell ref="B6:F6"/>
    <mergeCell ref="B7:F7"/>
    <mergeCell ref="B8:D8"/>
    <mergeCell ref="B9:F9"/>
  </mergeCells>
  <conditionalFormatting sqref="B2">
    <cfRule type="cellIs" dxfId="42" priority="25" operator="equal">
      <formula>"ERROR"</formula>
    </cfRule>
  </conditionalFormatting>
  <conditionalFormatting sqref="I13:I14">
    <cfRule type="cellIs" dxfId="41" priority="11" stopIfTrue="1" operator="greaterThanOrEqual">
      <formula>1</formula>
    </cfRule>
    <cfRule type="cellIs" dxfId="40" priority="12" stopIfTrue="1" operator="equal">
      <formula>0</formula>
    </cfRule>
  </conditionalFormatting>
  <conditionalFormatting sqref="K13:K14">
    <cfRule type="cellIs" dxfId="39" priority="7" stopIfTrue="1" operator="greaterThanOrEqual">
      <formula>0.75</formula>
    </cfRule>
    <cfRule type="cellIs" dxfId="38" priority="8" stopIfTrue="1" operator="lessThan">
      <formula>0.75</formula>
    </cfRule>
  </conditionalFormatting>
  <conditionalFormatting sqref="L13">
    <cfRule type="containsText" dxfId="37" priority="3" operator="containsText" text="INEFICAZ">
      <formula>NOT(ISERROR(SEARCH("INEFICAZ",L13)))</formula>
    </cfRule>
    <cfRule type="containsText" dxfId="36" priority="4" operator="containsText" text="EFICAZ">
      <formula>NOT(ISERROR(SEARCH("EFICAZ",L13)))</formula>
    </cfRule>
  </conditionalFormatting>
  <conditionalFormatting sqref="L14">
    <cfRule type="containsText" dxfId="35" priority="5" operator="containsText" text="INEFICIENTE">
      <formula>NOT(ISERROR(SEARCH("INEFICIENTE",L14)))</formula>
    </cfRule>
    <cfRule type="containsText" dxfId="34" priority="6" operator="containsText" text="EFICIENTE">
      <formula>NOT(ISERROR(SEARCH("EFICIENTE",L14)))</formula>
    </cfRule>
  </conditionalFormatting>
  <conditionalFormatting sqref="M2:M3">
    <cfRule type="cellIs" dxfId="33" priority="15" operator="equal">
      <formula>"INEXISTENTE"</formula>
    </cfRule>
    <cfRule type="cellIs" dxfId="32" priority="16" operator="equal">
      <formula>"INADECUADO"</formula>
    </cfRule>
    <cfRule type="cellIs" dxfId="31" priority="17" operator="equal">
      <formula>"PARCIALMENTE ADECUADO"</formula>
    </cfRule>
    <cfRule type="cellIs" dxfId="30" priority="18" operator="equal">
      <formula>"ADECUADO"</formula>
    </cfRule>
    <cfRule type="cellIs" dxfId="29" priority="19" operator="equal">
      <formula>"ERROR"</formula>
    </cfRule>
  </conditionalFormatting>
  <dataValidations count="1">
    <dataValidation type="list" allowBlank="1" showInputMessage="1" showErrorMessage="1" sqref="I25:I46">
      <formula1>$ACR$3:$ACR$11</formula1>
    </dataValidation>
  </dataValidation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201"/>
  <sheetViews>
    <sheetView topLeftCell="A100" zoomScaleNormal="100" workbookViewId="0">
      <selection activeCell="A118" sqref="A118:B118"/>
    </sheetView>
  </sheetViews>
  <sheetFormatPr baseColWidth="10" defaultColWidth="11.44140625" defaultRowHeight="13.8" x14ac:dyDescent="0.25"/>
  <cols>
    <col min="1" max="1" width="25.6640625" style="30" customWidth="1"/>
    <col min="2" max="2" width="27.88671875" style="30" customWidth="1"/>
    <col min="3" max="3" width="23.6640625" style="30" customWidth="1"/>
    <col min="4" max="4" width="25.88671875" style="30" customWidth="1"/>
    <col min="5" max="5" width="20.5546875" style="30" customWidth="1"/>
    <col min="6" max="6" width="24" style="30" customWidth="1"/>
    <col min="7" max="7" width="22" style="30" customWidth="1"/>
    <col min="8" max="8" width="23.44140625" style="29" customWidth="1"/>
    <col min="9" max="32" width="11.44140625" style="29"/>
    <col min="33" max="16384" width="11.44140625" style="30"/>
  </cols>
  <sheetData>
    <row r="1" spans="1:32" ht="86.25" customHeight="1" x14ac:dyDescent="0.25">
      <c r="A1" s="31"/>
      <c r="B1" s="2409" t="s">
        <v>1756</v>
      </c>
      <c r="C1" s="2410"/>
      <c r="D1" s="2410"/>
      <c r="E1" s="2410"/>
      <c r="F1" s="2411"/>
      <c r="G1" s="1254" t="s">
        <v>1757</v>
      </c>
      <c r="AF1" s="30"/>
    </row>
    <row r="2" spans="1:32" ht="17.399999999999999" x14ac:dyDescent="0.3">
      <c r="A2" s="2400"/>
      <c r="B2" s="2400"/>
      <c r="C2" s="2400"/>
      <c r="D2" s="2400"/>
      <c r="E2" s="2400"/>
      <c r="F2" s="2400"/>
      <c r="G2" s="2400"/>
    </row>
    <row r="3" spans="1:32" x14ac:dyDescent="0.25">
      <c r="A3" s="32" t="s">
        <v>0</v>
      </c>
      <c r="B3" s="2405" t="str">
        <f>+FENECIMIENTO!D4</f>
        <v xml:space="preserve">80000 - DIRECCIÓN SECTOR MOVILIDAD </v>
      </c>
      <c r="C3" s="2406"/>
      <c r="D3" s="2406"/>
      <c r="E3" s="2406"/>
      <c r="F3" s="32"/>
      <c r="G3" s="11"/>
    </row>
    <row r="4" spans="1:32" x14ac:dyDescent="0.25">
      <c r="A4" s="32" t="s">
        <v>1</v>
      </c>
      <c r="B4" s="2407" t="str">
        <f>+FENECIMIENTO!D5</f>
        <v>204 - Instituto de Desarrollo Urbano – IDU</v>
      </c>
      <c r="C4" s="2408"/>
      <c r="D4" s="2408"/>
      <c r="E4" s="2408"/>
      <c r="F4" s="34" t="s">
        <v>2</v>
      </c>
      <c r="G4" s="1529">
        <f>+FENECIMIENTO!K5</f>
        <v>2024</v>
      </c>
    </row>
    <row r="5" spans="1:32" x14ac:dyDescent="0.25">
      <c r="A5" s="1176" t="s">
        <v>1680</v>
      </c>
      <c r="B5" s="2412">
        <f>+FENECIMIENTO!D6</f>
        <v>2025</v>
      </c>
      <c r="C5" s="2412"/>
      <c r="D5" s="32"/>
      <c r="E5" s="32"/>
      <c r="F5" s="32" t="s">
        <v>3</v>
      </c>
      <c r="G5" s="1530">
        <f>+FENECIMIENTO!K6</f>
        <v>87</v>
      </c>
    </row>
    <row r="6" spans="1:32" x14ac:dyDescent="0.25">
      <c r="A6" s="32" t="s">
        <v>4</v>
      </c>
      <c r="B6" s="2413">
        <f>+FENECIMIENTO!D7</f>
        <v>45693</v>
      </c>
      <c r="C6" s="2414"/>
      <c r="D6" s="32"/>
      <c r="E6" s="11"/>
      <c r="F6" s="34" t="s">
        <v>5</v>
      </c>
      <c r="G6" s="1531">
        <f>+FENECIMIENTO!K7</f>
        <v>45693</v>
      </c>
    </row>
    <row r="7" spans="1:32" ht="14.4" thickBot="1" x14ac:dyDescent="0.3">
      <c r="A7" s="32"/>
      <c r="B7" s="32"/>
      <c r="C7" s="32"/>
      <c r="D7" s="32"/>
      <c r="E7" s="32"/>
      <c r="F7" s="32"/>
      <c r="G7" s="32"/>
    </row>
    <row r="8" spans="1:32" ht="15.75" customHeight="1" thickTop="1" thickBot="1" x14ac:dyDescent="0.3">
      <c r="A8" s="2415" t="s">
        <v>6</v>
      </c>
      <c r="B8" s="2415"/>
      <c r="C8" s="2415"/>
      <c r="D8" s="2415"/>
      <c r="E8" s="2415"/>
      <c r="F8" s="2415"/>
      <c r="G8" s="2415"/>
    </row>
    <row r="9" spans="1:32" ht="40.799999999999997" thickTop="1" thickBot="1" x14ac:dyDescent="0.3">
      <c r="A9" s="2416" t="s">
        <v>7</v>
      </c>
      <c r="B9" s="2417"/>
      <c r="C9" s="1532" t="s">
        <v>8</v>
      </c>
      <c r="D9" s="1532" t="s">
        <v>9</v>
      </c>
      <c r="E9" s="1532" t="s">
        <v>10</v>
      </c>
      <c r="F9" s="1532" t="s">
        <v>11</v>
      </c>
      <c r="G9" s="1533" t="s">
        <v>439</v>
      </c>
    </row>
    <row r="10" spans="1:32" ht="15" customHeight="1" thickTop="1" x14ac:dyDescent="0.25">
      <c r="A10" s="2401" t="s">
        <v>13</v>
      </c>
      <c r="B10" s="2402" t="s">
        <v>14</v>
      </c>
      <c r="C10" s="222">
        <v>20</v>
      </c>
      <c r="D10" s="223">
        <v>589000000</v>
      </c>
      <c r="E10" s="1534">
        <f>IFERROR(D10/$D$21,"")</f>
        <v>0.27113288415069109</v>
      </c>
      <c r="F10" s="223">
        <v>1200000</v>
      </c>
      <c r="G10" s="1537">
        <f>IFERROR(F10/D10,"")</f>
        <v>2.0373514431239388E-3</v>
      </c>
    </row>
    <row r="11" spans="1:32" x14ac:dyDescent="0.25">
      <c r="A11" s="2403" t="s">
        <v>15</v>
      </c>
      <c r="B11" s="2404" t="s">
        <v>16</v>
      </c>
      <c r="C11" s="224">
        <v>36</v>
      </c>
      <c r="D11" s="225">
        <v>776460200</v>
      </c>
      <c r="E11" s="1534">
        <f t="shared" ref="E11:E20" si="0">IFERROR(D11/$D$21,"")</f>
        <v>0.35742596511752539</v>
      </c>
      <c r="F11" s="225">
        <v>435124200</v>
      </c>
      <c r="G11" s="1537">
        <f t="shared" ref="G11:G21" si="1">IFERROR(F11/D11,"")</f>
        <v>0.56039472467487705</v>
      </c>
    </row>
    <row r="12" spans="1:32" x14ac:dyDescent="0.25">
      <c r="A12" s="2403" t="s">
        <v>17</v>
      </c>
      <c r="B12" s="2404" t="s">
        <v>18</v>
      </c>
      <c r="C12" s="224">
        <v>5</v>
      </c>
      <c r="D12" s="225">
        <v>20000000</v>
      </c>
      <c r="E12" s="1534">
        <f t="shared" si="0"/>
        <v>9.2065495467127719E-3</v>
      </c>
      <c r="F12" s="225">
        <v>1000000</v>
      </c>
      <c r="G12" s="1537">
        <f t="shared" si="1"/>
        <v>0.05</v>
      </c>
    </row>
    <row r="13" spans="1:32" x14ac:dyDescent="0.25">
      <c r="A13" s="2403" t="s">
        <v>19</v>
      </c>
      <c r="B13" s="2404" t="s">
        <v>20</v>
      </c>
      <c r="C13" s="224">
        <v>12</v>
      </c>
      <c r="D13" s="225">
        <v>32342000</v>
      </c>
      <c r="E13" s="1534">
        <f t="shared" si="0"/>
        <v>1.4887911271989223E-2</v>
      </c>
      <c r="F13" s="225">
        <v>22453253</v>
      </c>
      <c r="G13" s="1537">
        <f t="shared" si="1"/>
        <v>0.69424441902170553</v>
      </c>
    </row>
    <row r="14" spans="1:32" x14ac:dyDescent="0.25">
      <c r="A14" s="2403" t="s">
        <v>21</v>
      </c>
      <c r="B14" s="2404" t="s">
        <v>22</v>
      </c>
      <c r="C14" s="224">
        <v>200</v>
      </c>
      <c r="D14" s="225">
        <v>754564320</v>
      </c>
      <c r="E14" s="1534">
        <f t="shared" si="0"/>
        <v>0.34734668991308154</v>
      </c>
      <c r="F14" s="225">
        <v>464530000</v>
      </c>
      <c r="G14" s="1537">
        <f t="shared" si="1"/>
        <v>0.61562677652184772</v>
      </c>
    </row>
    <row r="15" spans="1:32" x14ac:dyDescent="0.25">
      <c r="A15" s="2403" t="s">
        <v>23</v>
      </c>
      <c r="B15" s="2404" t="s">
        <v>24</v>
      </c>
      <c r="C15" s="224"/>
      <c r="D15" s="225"/>
      <c r="E15" s="1534">
        <f t="shared" si="0"/>
        <v>0</v>
      </c>
      <c r="F15" s="225"/>
      <c r="G15" s="1537" t="str">
        <f t="shared" si="1"/>
        <v/>
      </c>
    </row>
    <row r="16" spans="1:32" x14ac:dyDescent="0.25">
      <c r="A16" s="2403" t="s">
        <v>25</v>
      </c>
      <c r="B16" s="2404" t="s">
        <v>26</v>
      </c>
      <c r="C16" s="224"/>
      <c r="D16" s="225"/>
      <c r="E16" s="1534">
        <f t="shared" si="0"/>
        <v>0</v>
      </c>
      <c r="F16" s="225">
        <v>0</v>
      </c>
      <c r="G16" s="1537" t="str">
        <f t="shared" si="1"/>
        <v/>
      </c>
    </row>
    <row r="17" spans="1:8" x14ac:dyDescent="0.25">
      <c r="A17" s="2403" t="s">
        <v>27</v>
      </c>
      <c r="B17" s="2404" t="s">
        <v>28</v>
      </c>
      <c r="C17" s="224"/>
      <c r="D17" s="225"/>
      <c r="E17" s="1534">
        <f t="shared" si="0"/>
        <v>0</v>
      </c>
      <c r="F17" s="225"/>
      <c r="G17" s="1537" t="str">
        <f t="shared" si="1"/>
        <v/>
      </c>
    </row>
    <row r="18" spans="1:8" x14ac:dyDescent="0.25">
      <c r="A18" s="2403" t="s">
        <v>29</v>
      </c>
      <c r="B18" s="2404" t="s">
        <v>30</v>
      </c>
      <c r="C18" s="224"/>
      <c r="D18" s="225"/>
      <c r="E18" s="1534">
        <f t="shared" si="0"/>
        <v>0</v>
      </c>
      <c r="F18" s="225"/>
      <c r="G18" s="1537" t="str">
        <f t="shared" si="1"/>
        <v/>
      </c>
    </row>
    <row r="19" spans="1:8" x14ac:dyDescent="0.25">
      <c r="A19" s="2403" t="s">
        <v>31</v>
      </c>
      <c r="B19" s="2404" t="s">
        <v>32</v>
      </c>
      <c r="C19" s="226"/>
      <c r="D19" s="227"/>
      <c r="E19" s="1534">
        <f t="shared" si="0"/>
        <v>0</v>
      </c>
      <c r="F19" s="227"/>
      <c r="G19" s="1537" t="str">
        <f t="shared" si="1"/>
        <v/>
      </c>
    </row>
    <row r="20" spans="1:8" ht="14.4" thickBot="1" x14ac:dyDescent="0.3">
      <c r="A20" s="2422" t="s">
        <v>33</v>
      </c>
      <c r="B20" s="2423" t="s">
        <v>34</v>
      </c>
      <c r="C20" s="228"/>
      <c r="D20" s="229"/>
      <c r="E20" s="1535">
        <f t="shared" si="0"/>
        <v>0</v>
      </c>
      <c r="F20" s="229"/>
      <c r="G20" s="1538" t="str">
        <f t="shared" si="1"/>
        <v/>
      </c>
      <c r="H20" s="37"/>
    </row>
    <row r="21" spans="1:8" ht="15" thickTop="1" thickBot="1" x14ac:dyDescent="0.3">
      <c r="A21" s="2424" t="s">
        <v>35</v>
      </c>
      <c r="B21" s="2425"/>
      <c r="C21" s="38">
        <f>SUM(C10:C20)</f>
        <v>273</v>
      </c>
      <c r="D21" s="39">
        <f>SUM(D10:D20)</f>
        <v>2172366520</v>
      </c>
      <c r="E21" s="1536">
        <f>SUM(E10:E20)</f>
        <v>1</v>
      </c>
      <c r="F21" s="39">
        <f>SUM(F10:F20)</f>
        <v>924307453</v>
      </c>
      <c r="G21" s="1539">
        <f t="shared" si="1"/>
        <v>0.42548411812201931</v>
      </c>
    </row>
    <row r="22" spans="1:8" ht="15" thickTop="1" thickBot="1" x14ac:dyDescent="0.3">
      <c r="A22" s="2426" t="s">
        <v>36</v>
      </c>
      <c r="B22" s="2427"/>
      <c r="C22" s="2427"/>
      <c r="D22" s="2427"/>
      <c r="E22" s="2427"/>
      <c r="F22" s="2427"/>
      <c r="G22" s="2427"/>
      <c r="H22" s="37"/>
    </row>
    <row r="23" spans="1:8" ht="15" thickTop="1" thickBot="1" x14ac:dyDescent="0.3">
      <c r="A23" s="2428"/>
      <c r="B23" s="2428"/>
      <c r="C23" s="2428"/>
      <c r="D23" s="2428"/>
      <c r="E23" s="2428"/>
      <c r="F23" s="2428"/>
      <c r="G23" s="2428"/>
    </row>
    <row r="24" spans="1:8" ht="40.799999999999997" thickTop="1" thickBot="1" x14ac:dyDescent="0.3">
      <c r="A24" s="2418" t="s">
        <v>37</v>
      </c>
      <c r="B24" s="2419"/>
      <c r="C24" s="35" t="s">
        <v>8</v>
      </c>
      <c r="D24" s="40" t="s">
        <v>9</v>
      </c>
      <c r="E24" s="40" t="s">
        <v>10</v>
      </c>
      <c r="F24" s="35" t="s">
        <v>11</v>
      </c>
      <c r="G24" s="36" t="s">
        <v>12</v>
      </c>
    </row>
    <row r="25" spans="1:8" ht="14.4" thickTop="1" x14ac:dyDescent="0.25">
      <c r="A25" s="2420" t="s">
        <v>38</v>
      </c>
      <c r="B25" s="2421"/>
      <c r="C25" s="230">
        <v>10</v>
      </c>
      <c r="D25" s="231">
        <v>633441000</v>
      </c>
      <c r="E25" s="1540">
        <f>D25/$D$97</f>
        <v>0.28574470010819886</v>
      </c>
      <c r="F25" s="223">
        <v>80000000</v>
      </c>
      <c r="G25" s="1543">
        <f>IFERROR(F25/D25,"")</f>
        <v>0.12629431943937952</v>
      </c>
    </row>
    <row r="26" spans="1:8" x14ac:dyDescent="0.25">
      <c r="A26" s="2403" t="s">
        <v>39</v>
      </c>
      <c r="B26" s="2404" t="str">
        <f t="shared" ref="B26:B69" si="2">MID(C26,3,70)</f>
        <v/>
      </c>
      <c r="C26" s="232">
        <v>36</v>
      </c>
      <c r="D26" s="223">
        <v>776460200</v>
      </c>
      <c r="E26" s="1541">
        <f t="shared" ref="E26:E89" si="3">D26/$D$97</f>
        <v>0.35026054043699745</v>
      </c>
      <c r="F26" s="225">
        <v>435124200</v>
      </c>
      <c r="G26" s="1544">
        <f>IFERROR(F26/D26,"")</f>
        <v>0.56039472467487705</v>
      </c>
    </row>
    <row r="27" spans="1:8" x14ac:dyDescent="0.25">
      <c r="A27" s="2403" t="s">
        <v>40</v>
      </c>
      <c r="B27" s="2404" t="str">
        <f t="shared" si="2"/>
        <v/>
      </c>
      <c r="C27" s="232">
        <v>5</v>
      </c>
      <c r="D27" s="223">
        <v>20000000</v>
      </c>
      <c r="E27" s="1541">
        <f t="shared" si="3"/>
        <v>9.0219831083936421E-3</v>
      </c>
      <c r="F27" s="225">
        <v>1000000</v>
      </c>
      <c r="G27" s="1544">
        <f t="shared" ref="G27:G90" si="4">IFERROR(F27/D27,"")</f>
        <v>0.05</v>
      </c>
    </row>
    <row r="28" spans="1:8" x14ac:dyDescent="0.25">
      <c r="A28" s="2403" t="s">
        <v>41</v>
      </c>
      <c r="B28" s="2404" t="str">
        <f t="shared" si="2"/>
        <v/>
      </c>
      <c r="C28" s="232">
        <v>12</v>
      </c>
      <c r="D28" s="223">
        <v>32342000</v>
      </c>
      <c r="E28" s="1541">
        <f t="shared" si="3"/>
        <v>1.4589448884583358E-2</v>
      </c>
      <c r="F28" s="225">
        <v>22453253</v>
      </c>
      <c r="G28" s="1544">
        <f t="shared" si="4"/>
        <v>0.69424441902170553</v>
      </c>
    </row>
    <row r="29" spans="1:8" x14ac:dyDescent="0.25">
      <c r="A29" s="2403" t="s">
        <v>42</v>
      </c>
      <c r="B29" s="2404" t="str">
        <f t="shared" si="2"/>
        <v>0</v>
      </c>
      <c r="C29" s="232">
        <v>200</v>
      </c>
      <c r="D29" s="223">
        <v>754564320</v>
      </c>
      <c r="E29" s="1541">
        <f t="shared" si="3"/>
        <v>0.3403833274618267</v>
      </c>
      <c r="F29" s="225">
        <v>464530000</v>
      </c>
      <c r="G29" s="1544">
        <f t="shared" si="4"/>
        <v>0.61562677652184772</v>
      </c>
    </row>
    <row r="30" spans="1:8" x14ac:dyDescent="0.25">
      <c r="A30" s="2403" t="s">
        <v>43</v>
      </c>
      <c r="B30" s="2404" t="str">
        <f t="shared" si="2"/>
        <v/>
      </c>
      <c r="C30" s="232"/>
      <c r="D30" s="223"/>
      <c r="E30" s="1541">
        <f t="shared" si="3"/>
        <v>0</v>
      </c>
      <c r="F30" s="223"/>
      <c r="G30" s="1544" t="str">
        <f t="shared" si="4"/>
        <v/>
      </c>
    </row>
    <row r="31" spans="1:8" x14ac:dyDescent="0.25">
      <c r="A31" s="2403" t="s">
        <v>44</v>
      </c>
      <c r="B31" s="2404" t="str">
        <f t="shared" si="2"/>
        <v/>
      </c>
      <c r="C31" s="232"/>
      <c r="D31" s="223"/>
      <c r="E31" s="1541">
        <f t="shared" si="3"/>
        <v>0</v>
      </c>
      <c r="F31" s="223"/>
      <c r="G31" s="1544" t="str">
        <f t="shared" si="4"/>
        <v/>
      </c>
    </row>
    <row r="32" spans="1:8" x14ac:dyDescent="0.25">
      <c r="A32" s="2403" t="s">
        <v>45</v>
      </c>
      <c r="B32" s="2404" t="str">
        <f t="shared" si="2"/>
        <v/>
      </c>
      <c r="C32" s="232"/>
      <c r="D32" s="223"/>
      <c r="E32" s="1541">
        <f t="shared" si="3"/>
        <v>0</v>
      </c>
      <c r="F32" s="223"/>
      <c r="G32" s="1544" t="str">
        <f t="shared" si="4"/>
        <v/>
      </c>
    </row>
    <row r="33" spans="1:7" x14ac:dyDescent="0.25">
      <c r="A33" s="2403" t="s">
        <v>46</v>
      </c>
      <c r="B33" s="2404" t="str">
        <f t="shared" si="2"/>
        <v/>
      </c>
      <c r="C33" s="232"/>
      <c r="D33" s="223"/>
      <c r="E33" s="1541">
        <f t="shared" si="3"/>
        <v>0</v>
      </c>
      <c r="F33" s="223"/>
      <c r="G33" s="1544" t="str">
        <f t="shared" si="4"/>
        <v/>
      </c>
    </row>
    <row r="34" spans="1:7" x14ac:dyDescent="0.25">
      <c r="A34" s="2403" t="s">
        <v>47</v>
      </c>
      <c r="B34" s="2404" t="str">
        <f t="shared" si="2"/>
        <v/>
      </c>
      <c r="C34" s="232"/>
      <c r="D34" s="223"/>
      <c r="E34" s="1541">
        <f t="shared" si="3"/>
        <v>0</v>
      </c>
      <c r="F34" s="223"/>
      <c r="G34" s="1544" t="str">
        <f t="shared" si="4"/>
        <v/>
      </c>
    </row>
    <row r="35" spans="1:7" x14ac:dyDescent="0.25">
      <c r="A35" s="2403" t="s">
        <v>48</v>
      </c>
      <c r="B35" s="2404" t="str">
        <f t="shared" si="2"/>
        <v/>
      </c>
      <c r="C35" s="232"/>
      <c r="D35" s="223"/>
      <c r="E35" s="1541">
        <f t="shared" si="3"/>
        <v>0</v>
      </c>
      <c r="F35" s="223"/>
      <c r="G35" s="1544" t="str">
        <f t="shared" si="4"/>
        <v/>
      </c>
    </row>
    <row r="36" spans="1:7" x14ac:dyDescent="0.25">
      <c r="A36" s="2403" t="s">
        <v>49</v>
      </c>
      <c r="B36" s="2404" t="str">
        <f t="shared" si="2"/>
        <v/>
      </c>
      <c r="C36" s="232"/>
      <c r="D36" s="223"/>
      <c r="E36" s="1541">
        <f t="shared" si="3"/>
        <v>0</v>
      </c>
      <c r="F36" s="223"/>
      <c r="G36" s="1544" t="str">
        <f t="shared" si="4"/>
        <v/>
      </c>
    </row>
    <row r="37" spans="1:7" x14ac:dyDescent="0.25">
      <c r="A37" s="2403" t="s">
        <v>50</v>
      </c>
      <c r="B37" s="2404" t="str">
        <f t="shared" si="2"/>
        <v/>
      </c>
      <c r="C37" s="232"/>
      <c r="D37" s="223"/>
      <c r="E37" s="1541">
        <f t="shared" si="3"/>
        <v>0</v>
      </c>
      <c r="F37" s="223"/>
      <c r="G37" s="1544" t="str">
        <f t="shared" si="4"/>
        <v/>
      </c>
    </row>
    <row r="38" spans="1:7" x14ac:dyDescent="0.25">
      <c r="A38" s="2403" t="s">
        <v>51</v>
      </c>
      <c r="B38" s="2404" t="str">
        <f t="shared" si="2"/>
        <v/>
      </c>
      <c r="C38" s="232"/>
      <c r="D38" s="223"/>
      <c r="E38" s="1541">
        <f t="shared" si="3"/>
        <v>0</v>
      </c>
      <c r="F38" s="223"/>
      <c r="G38" s="1544" t="str">
        <f t="shared" si="4"/>
        <v/>
      </c>
    </row>
    <row r="39" spans="1:7" x14ac:dyDescent="0.25">
      <c r="A39" s="2403" t="s">
        <v>52</v>
      </c>
      <c r="B39" s="2404" t="str">
        <f t="shared" si="2"/>
        <v/>
      </c>
      <c r="C39" s="232"/>
      <c r="D39" s="223"/>
      <c r="E39" s="1541">
        <f t="shared" si="3"/>
        <v>0</v>
      </c>
      <c r="F39" s="223"/>
      <c r="G39" s="1544" t="str">
        <f t="shared" si="4"/>
        <v/>
      </c>
    </row>
    <row r="40" spans="1:7" x14ac:dyDescent="0.25">
      <c r="A40" s="2403" t="s">
        <v>53</v>
      </c>
      <c r="B40" s="2404" t="str">
        <f t="shared" si="2"/>
        <v/>
      </c>
      <c r="C40" s="232"/>
      <c r="D40" s="223"/>
      <c r="E40" s="1541">
        <f t="shared" si="3"/>
        <v>0</v>
      </c>
      <c r="F40" s="223"/>
      <c r="G40" s="1544" t="str">
        <f t="shared" si="4"/>
        <v/>
      </c>
    </row>
    <row r="41" spans="1:7" x14ac:dyDescent="0.25">
      <c r="A41" s="2403" t="s">
        <v>54</v>
      </c>
      <c r="B41" s="2404" t="str">
        <f t="shared" si="2"/>
        <v/>
      </c>
      <c r="C41" s="232"/>
      <c r="D41" s="223"/>
      <c r="E41" s="1541">
        <f t="shared" si="3"/>
        <v>0</v>
      </c>
      <c r="F41" s="223"/>
      <c r="G41" s="1544" t="str">
        <f t="shared" si="4"/>
        <v/>
      </c>
    </row>
    <row r="42" spans="1:7" x14ac:dyDescent="0.25">
      <c r="A42" s="2403" t="s">
        <v>55</v>
      </c>
      <c r="B42" s="2404" t="str">
        <f t="shared" si="2"/>
        <v/>
      </c>
      <c r="C42" s="232"/>
      <c r="D42" s="223"/>
      <c r="E42" s="1541">
        <f t="shared" si="3"/>
        <v>0</v>
      </c>
      <c r="F42" s="223"/>
      <c r="G42" s="1544" t="str">
        <f t="shared" si="4"/>
        <v/>
      </c>
    </row>
    <row r="43" spans="1:7" x14ac:dyDescent="0.25">
      <c r="A43" s="2403" t="s">
        <v>56</v>
      </c>
      <c r="B43" s="2404" t="str">
        <f t="shared" si="2"/>
        <v/>
      </c>
      <c r="C43" s="232"/>
      <c r="D43" s="223"/>
      <c r="E43" s="1541">
        <f t="shared" si="3"/>
        <v>0</v>
      </c>
      <c r="F43" s="223"/>
      <c r="G43" s="1544" t="str">
        <f t="shared" si="4"/>
        <v/>
      </c>
    </row>
    <row r="44" spans="1:7" x14ac:dyDescent="0.25">
      <c r="A44" s="2403" t="s">
        <v>57</v>
      </c>
      <c r="B44" s="2404" t="str">
        <f t="shared" si="2"/>
        <v/>
      </c>
      <c r="C44" s="232"/>
      <c r="D44" s="223"/>
      <c r="E44" s="1541">
        <f t="shared" si="3"/>
        <v>0</v>
      </c>
      <c r="F44" s="223"/>
      <c r="G44" s="1544" t="str">
        <f t="shared" si="4"/>
        <v/>
      </c>
    </row>
    <row r="45" spans="1:7" x14ac:dyDescent="0.25">
      <c r="A45" s="2403" t="s">
        <v>58</v>
      </c>
      <c r="B45" s="2404" t="str">
        <f t="shared" si="2"/>
        <v/>
      </c>
      <c r="C45" s="232"/>
      <c r="D45" s="223"/>
      <c r="E45" s="1541">
        <f t="shared" si="3"/>
        <v>0</v>
      </c>
      <c r="F45" s="223"/>
      <c r="G45" s="1544" t="str">
        <f t="shared" si="4"/>
        <v/>
      </c>
    </row>
    <row r="46" spans="1:7" x14ac:dyDescent="0.25">
      <c r="A46" s="2403" t="s">
        <v>59</v>
      </c>
      <c r="B46" s="2404" t="str">
        <f t="shared" si="2"/>
        <v/>
      </c>
      <c r="C46" s="232"/>
      <c r="D46" s="223"/>
      <c r="E46" s="1541">
        <f t="shared" si="3"/>
        <v>0</v>
      </c>
      <c r="F46" s="223"/>
      <c r="G46" s="1544" t="str">
        <f t="shared" si="4"/>
        <v/>
      </c>
    </row>
    <row r="47" spans="1:7" x14ac:dyDescent="0.25">
      <c r="A47" s="2403" t="s">
        <v>60</v>
      </c>
      <c r="B47" s="2404" t="str">
        <f t="shared" si="2"/>
        <v/>
      </c>
      <c r="C47" s="232"/>
      <c r="D47" s="223"/>
      <c r="E47" s="1541">
        <f t="shared" si="3"/>
        <v>0</v>
      </c>
      <c r="F47" s="223"/>
      <c r="G47" s="1544" t="str">
        <f t="shared" si="4"/>
        <v/>
      </c>
    </row>
    <row r="48" spans="1:7" x14ac:dyDescent="0.25">
      <c r="A48" s="2403" t="s">
        <v>61</v>
      </c>
      <c r="B48" s="2404" t="str">
        <f t="shared" si="2"/>
        <v/>
      </c>
      <c r="C48" s="232"/>
      <c r="D48" s="223"/>
      <c r="E48" s="1541">
        <f t="shared" si="3"/>
        <v>0</v>
      </c>
      <c r="F48" s="223"/>
      <c r="G48" s="1544" t="str">
        <f t="shared" si="4"/>
        <v/>
      </c>
    </row>
    <row r="49" spans="1:7" x14ac:dyDescent="0.25">
      <c r="A49" s="2403" t="s">
        <v>62</v>
      </c>
      <c r="B49" s="2404" t="str">
        <f t="shared" si="2"/>
        <v/>
      </c>
      <c r="C49" s="232"/>
      <c r="D49" s="223"/>
      <c r="E49" s="1541">
        <f t="shared" si="3"/>
        <v>0</v>
      </c>
      <c r="F49" s="223"/>
      <c r="G49" s="1544" t="str">
        <f t="shared" si="4"/>
        <v/>
      </c>
    </row>
    <row r="50" spans="1:7" x14ac:dyDescent="0.25">
      <c r="A50" s="2403" t="s">
        <v>63</v>
      </c>
      <c r="B50" s="2404" t="str">
        <f t="shared" si="2"/>
        <v/>
      </c>
      <c r="C50" s="232"/>
      <c r="D50" s="223"/>
      <c r="E50" s="1541">
        <f t="shared" si="3"/>
        <v>0</v>
      </c>
      <c r="F50" s="223"/>
      <c r="G50" s="1544" t="str">
        <f t="shared" si="4"/>
        <v/>
      </c>
    </row>
    <row r="51" spans="1:7" x14ac:dyDescent="0.25">
      <c r="A51" s="2403" t="s">
        <v>64</v>
      </c>
      <c r="B51" s="2404" t="str">
        <f t="shared" si="2"/>
        <v/>
      </c>
      <c r="C51" s="232"/>
      <c r="D51" s="223"/>
      <c r="E51" s="1541">
        <f t="shared" si="3"/>
        <v>0</v>
      </c>
      <c r="F51" s="223"/>
      <c r="G51" s="1544" t="str">
        <f t="shared" si="4"/>
        <v/>
      </c>
    </row>
    <row r="52" spans="1:7" x14ac:dyDescent="0.25">
      <c r="A52" s="2403" t="s">
        <v>65</v>
      </c>
      <c r="B52" s="2404" t="str">
        <f t="shared" si="2"/>
        <v/>
      </c>
      <c r="C52" s="232"/>
      <c r="D52" s="223"/>
      <c r="E52" s="1541">
        <f t="shared" si="3"/>
        <v>0</v>
      </c>
      <c r="F52" s="223"/>
      <c r="G52" s="1544" t="str">
        <f t="shared" si="4"/>
        <v/>
      </c>
    </row>
    <row r="53" spans="1:7" x14ac:dyDescent="0.25">
      <c r="A53" s="2403" t="s">
        <v>66</v>
      </c>
      <c r="B53" s="2404" t="str">
        <f t="shared" si="2"/>
        <v/>
      </c>
      <c r="C53" s="232"/>
      <c r="D53" s="223"/>
      <c r="E53" s="1541">
        <f t="shared" si="3"/>
        <v>0</v>
      </c>
      <c r="F53" s="223"/>
      <c r="G53" s="1544" t="str">
        <f t="shared" si="4"/>
        <v/>
      </c>
    </row>
    <row r="54" spans="1:7" x14ac:dyDescent="0.25">
      <c r="A54" s="2403" t="s">
        <v>67</v>
      </c>
      <c r="B54" s="2404" t="str">
        <f t="shared" si="2"/>
        <v/>
      </c>
      <c r="C54" s="232"/>
      <c r="D54" s="223"/>
      <c r="E54" s="1541">
        <f t="shared" si="3"/>
        <v>0</v>
      </c>
      <c r="F54" s="223"/>
      <c r="G54" s="1544" t="str">
        <f t="shared" si="4"/>
        <v/>
      </c>
    </row>
    <row r="55" spans="1:7" x14ac:dyDescent="0.25">
      <c r="A55" s="2403" t="s">
        <v>68</v>
      </c>
      <c r="B55" s="2404" t="str">
        <f t="shared" si="2"/>
        <v/>
      </c>
      <c r="C55" s="232"/>
      <c r="D55" s="223"/>
      <c r="E55" s="1541">
        <f t="shared" si="3"/>
        <v>0</v>
      </c>
      <c r="F55" s="223"/>
      <c r="G55" s="1544" t="str">
        <f t="shared" si="4"/>
        <v/>
      </c>
    </row>
    <row r="56" spans="1:7" x14ac:dyDescent="0.25">
      <c r="A56" s="2403" t="s">
        <v>69</v>
      </c>
      <c r="B56" s="2404" t="str">
        <f t="shared" si="2"/>
        <v/>
      </c>
      <c r="C56" s="232"/>
      <c r="D56" s="223"/>
      <c r="E56" s="1541">
        <f t="shared" si="3"/>
        <v>0</v>
      </c>
      <c r="F56" s="223"/>
      <c r="G56" s="1544" t="str">
        <f t="shared" si="4"/>
        <v/>
      </c>
    </row>
    <row r="57" spans="1:7" x14ac:dyDescent="0.25">
      <c r="A57" s="2403" t="s">
        <v>70</v>
      </c>
      <c r="B57" s="2404" t="str">
        <f t="shared" si="2"/>
        <v/>
      </c>
      <c r="C57" s="232"/>
      <c r="D57" s="223"/>
      <c r="E57" s="1541">
        <f t="shared" si="3"/>
        <v>0</v>
      </c>
      <c r="F57" s="223"/>
      <c r="G57" s="1544" t="str">
        <f t="shared" si="4"/>
        <v/>
      </c>
    </row>
    <row r="58" spans="1:7" x14ac:dyDescent="0.25">
      <c r="A58" s="2403" t="s">
        <v>71</v>
      </c>
      <c r="B58" s="2404" t="str">
        <f t="shared" si="2"/>
        <v/>
      </c>
      <c r="C58" s="232"/>
      <c r="D58" s="223"/>
      <c r="E58" s="1541">
        <f t="shared" si="3"/>
        <v>0</v>
      </c>
      <c r="F58" s="223"/>
      <c r="G58" s="1544" t="str">
        <f t="shared" si="4"/>
        <v/>
      </c>
    </row>
    <row r="59" spans="1:7" x14ac:dyDescent="0.25">
      <c r="A59" s="2403" t="s">
        <v>72</v>
      </c>
      <c r="B59" s="2404" t="str">
        <f t="shared" si="2"/>
        <v/>
      </c>
      <c r="C59" s="232"/>
      <c r="D59" s="223"/>
      <c r="E59" s="1541">
        <f t="shared" si="3"/>
        <v>0</v>
      </c>
      <c r="F59" s="223"/>
      <c r="G59" s="1544" t="str">
        <f t="shared" si="4"/>
        <v/>
      </c>
    </row>
    <row r="60" spans="1:7" x14ac:dyDescent="0.25">
      <c r="A60" s="2403" t="s">
        <v>73</v>
      </c>
      <c r="B60" s="2404" t="str">
        <f t="shared" si="2"/>
        <v/>
      </c>
      <c r="C60" s="232"/>
      <c r="D60" s="223"/>
      <c r="E60" s="1541">
        <f t="shared" si="3"/>
        <v>0</v>
      </c>
      <c r="F60" s="223"/>
      <c r="G60" s="1544" t="str">
        <f t="shared" si="4"/>
        <v/>
      </c>
    </row>
    <row r="61" spans="1:7" x14ac:dyDescent="0.25">
      <c r="A61" s="2403" t="s">
        <v>74</v>
      </c>
      <c r="B61" s="2404" t="str">
        <f t="shared" si="2"/>
        <v/>
      </c>
      <c r="C61" s="232"/>
      <c r="D61" s="223"/>
      <c r="E61" s="1541">
        <f t="shared" si="3"/>
        <v>0</v>
      </c>
      <c r="F61" s="223"/>
      <c r="G61" s="1544" t="str">
        <f t="shared" si="4"/>
        <v/>
      </c>
    </row>
    <row r="62" spans="1:7" x14ac:dyDescent="0.25">
      <c r="A62" s="2403" t="s">
        <v>75</v>
      </c>
      <c r="B62" s="2404" t="str">
        <f t="shared" si="2"/>
        <v/>
      </c>
      <c r="C62" s="232"/>
      <c r="D62" s="223"/>
      <c r="E62" s="1541">
        <f t="shared" si="3"/>
        <v>0</v>
      </c>
      <c r="F62" s="223"/>
      <c r="G62" s="1544" t="str">
        <f t="shared" si="4"/>
        <v/>
      </c>
    </row>
    <row r="63" spans="1:7" x14ac:dyDescent="0.25">
      <c r="A63" s="2403" t="s">
        <v>76</v>
      </c>
      <c r="B63" s="2404" t="str">
        <f t="shared" si="2"/>
        <v/>
      </c>
      <c r="C63" s="232"/>
      <c r="D63" s="223"/>
      <c r="E63" s="1541">
        <f t="shared" si="3"/>
        <v>0</v>
      </c>
      <c r="F63" s="223"/>
      <c r="G63" s="1544" t="str">
        <f t="shared" si="4"/>
        <v/>
      </c>
    </row>
    <row r="64" spans="1:7" x14ac:dyDescent="0.25">
      <c r="A64" s="2403" t="s">
        <v>77</v>
      </c>
      <c r="B64" s="2404" t="str">
        <f t="shared" si="2"/>
        <v/>
      </c>
      <c r="C64" s="232"/>
      <c r="D64" s="223"/>
      <c r="E64" s="1541">
        <f t="shared" si="3"/>
        <v>0</v>
      </c>
      <c r="F64" s="223"/>
      <c r="G64" s="1544" t="str">
        <f t="shared" si="4"/>
        <v/>
      </c>
    </row>
    <row r="65" spans="1:7" x14ac:dyDescent="0.25">
      <c r="A65" s="2403" t="s">
        <v>78</v>
      </c>
      <c r="B65" s="2404" t="str">
        <f t="shared" si="2"/>
        <v/>
      </c>
      <c r="C65" s="232"/>
      <c r="D65" s="223"/>
      <c r="E65" s="1541">
        <f t="shared" si="3"/>
        <v>0</v>
      </c>
      <c r="F65" s="223"/>
      <c r="G65" s="1544" t="str">
        <f t="shared" si="4"/>
        <v/>
      </c>
    </row>
    <row r="66" spans="1:7" x14ac:dyDescent="0.25">
      <c r="A66" s="2403" t="s">
        <v>79</v>
      </c>
      <c r="B66" s="2404" t="str">
        <f t="shared" si="2"/>
        <v/>
      </c>
      <c r="C66" s="232"/>
      <c r="D66" s="223"/>
      <c r="E66" s="1541">
        <f t="shared" si="3"/>
        <v>0</v>
      </c>
      <c r="F66" s="223"/>
      <c r="G66" s="1544" t="str">
        <f t="shared" si="4"/>
        <v/>
      </c>
    </row>
    <row r="67" spans="1:7" x14ac:dyDescent="0.25">
      <c r="A67" s="2403" t="s">
        <v>80</v>
      </c>
      <c r="B67" s="2404" t="str">
        <f t="shared" si="2"/>
        <v/>
      </c>
      <c r="C67" s="232"/>
      <c r="D67" s="223"/>
      <c r="E67" s="1541">
        <f t="shared" si="3"/>
        <v>0</v>
      </c>
      <c r="F67" s="223"/>
      <c r="G67" s="1544" t="str">
        <f t="shared" si="4"/>
        <v/>
      </c>
    </row>
    <row r="68" spans="1:7" x14ac:dyDescent="0.25">
      <c r="A68" s="2403" t="s">
        <v>81</v>
      </c>
      <c r="B68" s="2404" t="str">
        <f t="shared" si="2"/>
        <v/>
      </c>
      <c r="C68" s="232"/>
      <c r="D68" s="223"/>
      <c r="E68" s="1541">
        <f t="shared" si="3"/>
        <v>0</v>
      </c>
      <c r="F68" s="223"/>
      <c r="G68" s="1544" t="str">
        <f t="shared" si="4"/>
        <v/>
      </c>
    </row>
    <row r="69" spans="1:7" x14ac:dyDescent="0.25">
      <c r="A69" s="2403" t="s">
        <v>82</v>
      </c>
      <c r="B69" s="2404" t="str">
        <f t="shared" si="2"/>
        <v/>
      </c>
      <c r="C69" s="232"/>
      <c r="D69" s="223"/>
      <c r="E69" s="1541">
        <f t="shared" si="3"/>
        <v>0</v>
      </c>
      <c r="F69" s="223"/>
      <c r="G69" s="1544" t="str">
        <f t="shared" si="4"/>
        <v/>
      </c>
    </row>
    <row r="70" spans="1:7" x14ac:dyDescent="0.25">
      <c r="A70" s="2403" t="s">
        <v>83</v>
      </c>
      <c r="B70" s="2404" t="str">
        <f>MID(C70,4,70)</f>
        <v/>
      </c>
      <c r="C70" s="232"/>
      <c r="D70" s="223"/>
      <c r="E70" s="1541">
        <f t="shared" si="3"/>
        <v>0</v>
      </c>
      <c r="F70" s="223"/>
      <c r="G70" s="1544" t="str">
        <f t="shared" si="4"/>
        <v/>
      </c>
    </row>
    <row r="71" spans="1:7" x14ac:dyDescent="0.25">
      <c r="A71" s="2403" t="s">
        <v>84</v>
      </c>
      <c r="B71" s="2404" t="str">
        <f t="shared" ref="B71:B96" si="5">MID(C71,4,70)</f>
        <v/>
      </c>
      <c r="C71" s="232"/>
      <c r="D71" s="223"/>
      <c r="E71" s="1541">
        <f t="shared" si="3"/>
        <v>0</v>
      </c>
      <c r="F71" s="223"/>
      <c r="G71" s="1544" t="str">
        <f t="shared" si="4"/>
        <v/>
      </c>
    </row>
    <row r="72" spans="1:7" x14ac:dyDescent="0.25">
      <c r="A72" s="2403" t="s">
        <v>85</v>
      </c>
      <c r="B72" s="2404" t="str">
        <f t="shared" si="5"/>
        <v/>
      </c>
      <c r="C72" s="232"/>
      <c r="D72" s="223"/>
      <c r="E72" s="1541">
        <f t="shared" si="3"/>
        <v>0</v>
      </c>
      <c r="F72" s="223"/>
      <c r="G72" s="1544" t="str">
        <f t="shared" si="4"/>
        <v/>
      </c>
    </row>
    <row r="73" spans="1:7" x14ac:dyDescent="0.25">
      <c r="A73" s="2403" t="s">
        <v>86</v>
      </c>
      <c r="B73" s="2404" t="str">
        <f t="shared" si="5"/>
        <v/>
      </c>
      <c r="C73" s="232"/>
      <c r="D73" s="223"/>
      <c r="E73" s="1541">
        <f t="shared" si="3"/>
        <v>0</v>
      </c>
      <c r="F73" s="223"/>
      <c r="G73" s="1544" t="str">
        <f t="shared" si="4"/>
        <v/>
      </c>
    </row>
    <row r="74" spans="1:7" x14ac:dyDescent="0.25">
      <c r="A74" s="2403" t="s">
        <v>87</v>
      </c>
      <c r="B74" s="2404" t="str">
        <f t="shared" si="5"/>
        <v/>
      </c>
      <c r="C74" s="232"/>
      <c r="D74" s="223"/>
      <c r="E74" s="1541">
        <f t="shared" si="3"/>
        <v>0</v>
      </c>
      <c r="F74" s="223"/>
      <c r="G74" s="1544" t="str">
        <f t="shared" si="4"/>
        <v/>
      </c>
    </row>
    <row r="75" spans="1:7" x14ac:dyDescent="0.25">
      <c r="A75" s="2403" t="s">
        <v>88</v>
      </c>
      <c r="B75" s="2404" t="str">
        <f t="shared" si="5"/>
        <v/>
      </c>
      <c r="C75" s="232"/>
      <c r="D75" s="223"/>
      <c r="E75" s="1541">
        <f t="shared" si="3"/>
        <v>0</v>
      </c>
      <c r="F75" s="223"/>
      <c r="G75" s="1544" t="str">
        <f t="shared" si="4"/>
        <v/>
      </c>
    </row>
    <row r="76" spans="1:7" x14ac:dyDescent="0.25">
      <c r="A76" s="2403" t="s">
        <v>89</v>
      </c>
      <c r="B76" s="2404" t="str">
        <f t="shared" si="5"/>
        <v/>
      </c>
      <c r="C76" s="232"/>
      <c r="D76" s="223"/>
      <c r="E76" s="1541">
        <f t="shared" si="3"/>
        <v>0</v>
      </c>
      <c r="F76" s="223"/>
      <c r="G76" s="1544" t="str">
        <f t="shared" si="4"/>
        <v/>
      </c>
    </row>
    <row r="77" spans="1:7" x14ac:dyDescent="0.25">
      <c r="A77" s="2403" t="s">
        <v>90</v>
      </c>
      <c r="B77" s="2404" t="str">
        <f t="shared" si="5"/>
        <v/>
      </c>
      <c r="C77" s="232"/>
      <c r="D77" s="223"/>
      <c r="E77" s="1541">
        <f t="shared" si="3"/>
        <v>0</v>
      </c>
      <c r="F77" s="223"/>
      <c r="G77" s="1544" t="str">
        <f t="shared" si="4"/>
        <v/>
      </c>
    </row>
    <row r="78" spans="1:7" x14ac:dyDescent="0.25">
      <c r="A78" s="2403" t="s">
        <v>91</v>
      </c>
      <c r="B78" s="2404" t="str">
        <f t="shared" si="5"/>
        <v/>
      </c>
      <c r="C78" s="232"/>
      <c r="D78" s="223"/>
      <c r="E78" s="1541">
        <f t="shared" si="3"/>
        <v>0</v>
      </c>
      <c r="F78" s="223"/>
      <c r="G78" s="1544" t="str">
        <f t="shared" si="4"/>
        <v/>
      </c>
    </row>
    <row r="79" spans="1:7" x14ac:dyDescent="0.25">
      <c r="A79" s="2403" t="s">
        <v>92</v>
      </c>
      <c r="B79" s="2404" t="str">
        <f t="shared" si="5"/>
        <v/>
      </c>
      <c r="C79" s="232"/>
      <c r="D79" s="225"/>
      <c r="E79" s="1541">
        <f t="shared" si="3"/>
        <v>0</v>
      </c>
      <c r="F79" s="225"/>
      <c r="G79" s="1544" t="str">
        <f t="shared" si="4"/>
        <v/>
      </c>
    </row>
    <row r="80" spans="1:7" x14ac:dyDescent="0.25">
      <c r="A80" s="2403" t="s">
        <v>93</v>
      </c>
      <c r="B80" s="2404" t="str">
        <f t="shared" si="5"/>
        <v/>
      </c>
      <c r="C80" s="232"/>
      <c r="D80" s="225"/>
      <c r="E80" s="1541">
        <f t="shared" si="3"/>
        <v>0</v>
      </c>
      <c r="F80" s="225"/>
      <c r="G80" s="1544" t="str">
        <f t="shared" si="4"/>
        <v/>
      </c>
    </row>
    <row r="81" spans="1:7" x14ac:dyDescent="0.25">
      <c r="A81" s="2403" t="s">
        <v>94</v>
      </c>
      <c r="B81" s="2404" t="str">
        <f t="shared" si="5"/>
        <v/>
      </c>
      <c r="C81" s="232"/>
      <c r="D81" s="225"/>
      <c r="E81" s="1541">
        <f t="shared" si="3"/>
        <v>0</v>
      </c>
      <c r="F81" s="225"/>
      <c r="G81" s="1544" t="str">
        <f t="shared" si="4"/>
        <v/>
      </c>
    </row>
    <row r="82" spans="1:7" x14ac:dyDescent="0.25">
      <c r="A82" s="2403" t="s">
        <v>95</v>
      </c>
      <c r="B82" s="2404" t="str">
        <f t="shared" si="5"/>
        <v/>
      </c>
      <c r="C82" s="232"/>
      <c r="D82" s="225"/>
      <c r="E82" s="1541">
        <f t="shared" si="3"/>
        <v>0</v>
      </c>
      <c r="F82" s="225"/>
      <c r="G82" s="1544" t="str">
        <f t="shared" si="4"/>
        <v/>
      </c>
    </row>
    <row r="83" spans="1:7" x14ac:dyDescent="0.25">
      <c r="A83" s="2403" t="s">
        <v>96</v>
      </c>
      <c r="B83" s="2404" t="str">
        <f t="shared" si="5"/>
        <v/>
      </c>
      <c r="C83" s="232"/>
      <c r="D83" s="225"/>
      <c r="E83" s="1541">
        <f t="shared" si="3"/>
        <v>0</v>
      </c>
      <c r="F83" s="225"/>
      <c r="G83" s="1544" t="str">
        <f t="shared" si="4"/>
        <v/>
      </c>
    </row>
    <row r="84" spans="1:7" x14ac:dyDescent="0.25">
      <c r="A84" s="2403" t="s">
        <v>97</v>
      </c>
      <c r="B84" s="2404" t="str">
        <f t="shared" si="5"/>
        <v/>
      </c>
      <c r="C84" s="232"/>
      <c r="D84" s="225"/>
      <c r="E84" s="1541">
        <f t="shared" si="3"/>
        <v>0</v>
      </c>
      <c r="F84" s="225"/>
      <c r="G84" s="1544" t="str">
        <f t="shared" si="4"/>
        <v/>
      </c>
    </row>
    <row r="85" spans="1:7" x14ac:dyDescent="0.25">
      <c r="A85" s="2403" t="s">
        <v>98</v>
      </c>
      <c r="B85" s="2404" t="str">
        <f t="shared" si="5"/>
        <v/>
      </c>
      <c r="C85" s="232"/>
      <c r="D85" s="225"/>
      <c r="E85" s="1541">
        <f t="shared" si="3"/>
        <v>0</v>
      </c>
      <c r="F85" s="225"/>
      <c r="G85" s="1544" t="str">
        <f t="shared" si="4"/>
        <v/>
      </c>
    </row>
    <row r="86" spans="1:7" x14ac:dyDescent="0.25">
      <c r="A86" s="2403" t="s">
        <v>99</v>
      </c>
      <c r="B86" s="2404" t="str">
        <f t="shared" si="5"/>
        <v/>
      </c>
      <c r="C86" s="232"/>
      <c r="D86" s="225"/>
      <c r="E86" s="1541">
        <f t="shared" si="3"/>
        <v>0</v>
      </c>
      <c r="F86" s="225"/>
      <c r="G86" s="1544" t="str">
        <f t="shared" si="4"/>
        <v/>
      </c>
    </row>
    <row r="87" spans="1:7" x14ac:dyDescent="0.25">
      <c r="A87" s="2403" t="s">
        <v>100</v>
      </c>
      <c r="B87" s="2404" t="str">
        <f t="shared" si="5"/>
        <v/>
      </c>
      <c r="C87" s="232"/>
      <c r="D87" s="225"/>
      <c r="E87" s="1541">
        <f t="shared" si="3"/>
        <v>0</v>
      </c>
      <c r="F87" s="225"/>
      <c r="G87" s="1544" t="str">
        <f t="shared" si="4"/>
        <v/>
      </c>
    </row>
    <row r="88" spans="1:7" x14ac:dyDescent="0.25">
      <c r="A88" s="2403" t="s">
        <v>101</v>
      </c>
      <c r="B88" s="2404" t="str">
        <f t="shared" si="5"/>
        <v/>
      </c>
      <c r="C88" s="232"/>
      <c r="D88" s="225"/>
      <c r="E88" s="1541">
        <f t="shared" si="3"/>
        <v>0</v>
      </c>
      <c r="F88" s="225"/>
      <c r="G88" s="1544" t="str">
        <f t="shared" si="4"/>
        <v/>
      </c>
    </row>
    <row r="89" spans="1:7" x14ac:dyDescent="0.25">
      <c r="A89" s="2403" t="s">
        <v>102</v>
      </c>
      <c r="B89" s="2404" t="str">
        <f t="shared" si="5"/>
        <v/>
      </c>
      <c r="C89" s="232"/>
      <c r="D89" s="225"/>
      <c r="E89" s="1541">
        <f t="shared" si="3"/>
        <v>0</v>
      </c>
      <c r="F89" s="225"/>
      <c r="G89" s="1544" t="str">
        <f t="shared" si="4"/>
        <v/>
      </c>
    </row>
    <row r="90" spans="1:7" x14ac:dyDescent="0.25">
      <c r="A90" s="2403" t="s">
        <v>103</v>
      </c>
      <c r="B90" s="2404" t="str">
        <f t="shared" si="5"/>
        <v/>
      </c>
      <c r="C90" s="232"/>
      <c r="D90" s="225"/>
      <c r="E90" s="1541">
        <f t="shared" ref="E90:E96" si="6">D90/$D$97</f>
        <v>0</v>
      </c>
      <c r="F90" s="225"/>
      <c r="G90" s="1544" t="str">
        <f t="shared" si="4"/>
        <v/>
      </c>
    </row>
    <row r="91" spans="1:7" x14ac:dyDescent="0.25">
      <c r="A91" s="2403" t="s">
        <v>104</v>
      </c>
      <c r="B91" s="2404" t="str">
        <f t="shared" si="5"/>
        <v/>
      </c>
      <c r="C91" s="232"/>
      <c r="D91" s="225"/>
      <c r="E91" s="1541">
        <f t="shared" si="6"/>
        <v>0</v>
      </c>
      <c r="F91" s="225"/>
      <c r="G91" s="1544" t="str">
        <f t="shared" ref="G91:G96" si="7">IFERROR(F91/D91,"")</f>
        <v/>
      </c>
    </row>
    <row r="92" spans="1:7" x14ac:dyDescent="0.25">
      <c r="A92" s="2403" t="s">
        <v>105</v>
      </c>
      <c r="B92" s="2404" t="str">
        <f t="shared" si="5"/>
        <v/>
      </c>
      <c r="C92" s="232"/>
      <c r="D92" s="225"/>
      <c r="E92" s="1541">
        <f t="shared" si="6"/>
        <v>0</v>
      </c>
      <c r="F92" s="225"/>
      <c r="G92" s="1544" t="str">
        <f t="shared" si="7"/>
        <v/>
      </c>
    </row>
    <row r="93" spans="1:7" x14ac:dyDescent="0.25">
      <c r="A93" s="2403" t="s">
        <v>106</v>
      </c>
      <c r="B93" s="2404" t="str">
        <f t="shared" si="5"/>
        <v/>
      </c>
      <c r="C93" s="232"/>
      <c r="D93" s="225"/>
      <c r="E93" s="1541">
        <f t="shared" si="6"/>
        <v>0</v>
      </c>
      <c r="F93" s="225"/>
      <c r="G93" s="1544" t="str">
        <f t="shared" si="7"/>
        <v/>
      </c>
    </row>
    <row r="94" spans="1:7" x14ac:dyDescent="0.25">
      <c r="A94" s="2403" t="s">
        <v>107</v>
      </c>
      <c r="B94" s="2404" t="str">
        <f t="shared" si="5"/>
        <v/>
      </c>
      <c r="C94" s="232"/>
      <c r="D94" s="225"/>
      <c r="E94" s="1541">
        <f t="shared" si="6"/>
        <v>0</v>
      </c>
      <c r="F94" s="225"/>
      <c r="G94" s="1544" t="str">
        <f t="shared" si="7"/>
        <v/>
      </c>
    </row>
    <row r="95" spans="1:7" x14ac:dyDescent="0.25">
      <c r="A95" s="2403" t="s">
        <v>108</v>
      </c>
      <c r="B95" s="2404" t="str">
        <f t="shared" si="5"/>
        <v/>
      </c>
      <c r="C95" s="232"/>
      <c r="D95" s="225"/>
      <c r="E95" s="1541">
        <f t="shared" si="6"/>
        <v>0</v>
      </c>
      <c r="F95" s="225"/>
      <c r="G95" s="1544" t="str">
        <f t="shared" si="7"/>
        <v/>
      </c>
    </row>
    <row r="96" spans="1:7" ht="14.4" thickBot="1" x14ac:dyDescent="0.3">
      <c r="A96" s="2422" t="s">
        <v>109</v>
      </c>
      <c r="B96" s="2423" t="str">
        <f t="shared" si="5"/>
        <v/>
      </c>
      <c r="C96" s="233"/>
      <c r="D96" s="227"/>
      <c r="E96" s="1542">
        <f t="shared" si="6"/>
        <v>0</v>
      </c>
      <c r="F96" s="227"/>
      <c r="G96" s="1545" t="str">
        <f t="shared" si="7"/>
        <v/>
      </c>
    </row>
    <row r="97" spans="1:8" ht="15" thickTop="1" thickBot="1" x14ac:dyDescent="0.3">
      <c r="A97" s="2433" t="s">
        <v>35</v>
      </c>
      <c r="B97" s="2434"/>
      <c r="C97" s="1546">
        <f>SUM(C25:C96)</f>
        <v>263</v>
      </c>
      <c r="D97" s="1547">
        <f>SUM(D25:D96)</f>
        <v>2216807520</v>
      </c>
      <c r="E97" s="1548">
        <f>SUM(E25:E96)</f>
        <v>1</v>
      </c>
      <c r="F97" s="1547">
        <f>SUM(F25:F96)</f>
        <v>1003107453</v>
      </c>
      <c r="G97" s="1538">
        <f>IFERROR(F97/D97,"")</f>
        <v>0.45250092484348842</v>
      </c>
    </row>
    <row r="98" spans="1:8" ht="15" thickTop="1" thickBot="1" x14ac:dyDescent="0.3">
      <c r="A98" s="2427" t="s">
        <v>110</v>
      </c>
      <c r="B98" s="2427"/>
      <c r="C98" s="2427"/>
      <c r="D98" s="2427"/>
      <c r="E98" s="2427"/>
      <c r="F98" s="2427"/>
      <c r="G98" s="2427"/>
      <c r="H98" s="37"/>
    </row>
    <row r="99" spans="1:8" ht="15" thickTop="1" thickBot="1" x14ac:dyDescent="0.3">
      <c r="A99" s="29"/>
      <c r="B99" s="29"/>
      <c r="C99" s="29"/>
      <c r="D99" s="29"/>
      <c r="E99" s="29"/>
      <c r="F99" s="29"/>
      <c r="G99" s="29"/>
    </row>
    <row r="100" spans="1:8" ht="33" customHeight="1" thickTop="1" thickBot="1" x14ac:dyDescent="0.3">
      <c r="A100" s="2438" t="s">
        <v>448</v>
      </c>
      <c r="B100" s="2438"/>
      <c r="C100" s="2439"/>
      <c r="D100" s="29"/>
      <c r="E100" s="2468" t="s">
        <v>461</v>
      </c>
      <c r="F100" s="2469"/>
      <c r="G100" s="2429" t="s">
        <v>1741</v>
      </c>
      <c r="H100" s="2429" t="s">
        <v>113</v>
      </c>
    </row>
    <row r="101" spans="1:8" ht="40.5" customHeight="1" thickTop="1" x14ac:dyDescent="0.25">
      <c r="A101" s="41" t="s">
        <v>111</v>
      </c>
      <c r="B101" s="42" t="s">
        <v>114</v>
      </c>
      <c r="C101" s="43" t="s">
        <v>1740</v>
      </c>
      <c r="D101" s="29"/>
      <c r="E101" s="2470"/>
      <c r="F101" s="2471"/>
      <c r="G101" s="2430"/>
      <c r="H101" s="2430"/>
    </row>
    <row r="102" spans="1:8" ht="14.25" customHeight="1" x14ac:dyDescent="0.25">
      <c r="A102" s="240">
        <v>2022</v>
      </c>
      <c r="B102" s="225">
        <v>350000000</v>
      </c>
      <c r="C102" s="234">
        <v>248900000</v>
      </c>
      <c r="D102" s="29"/>
      <c r="E102" s="2431" t="s">
        <v>115</v>
      </c>
      <c r="F102" s="2432"/>
      <c r="G102" s="237">
        <v>15467000</v>
      </c>
      <c r="H102" s="237">
        <v>8000000</v>
      </c>
    </row>
    <row r="103" spans="1:8" x14ac:dyDescent="0.25">
      <c r="A103" s="240">
        <v>2023</v>
      </c>
      <c r="B103" s="225">
        <v>130000000</v>
      </c>
      <c r="C103" s="234">
        <v>10034000</v>
      </c>
      <c r="D103" s="29"/>
      <c r="E103" s="2431" t="s">
        <v>116</v>
      </c>
      <c r="F103" s="2432"/>
      <c r="G103" s="237">
        <v>4359000000</v>
      </c>
      <c r="H103" s="237">
        <v>4183473000</v>
      </c>
    </row>
    <row r="104" spans="1:8" x14ac:dyDescent="0.25">
      <c r="A104" s="241">
        <v>2024</v>
      </c>
      <c r="B104" s="227">
        <v>458906898</v>
      </c>
      <c r="C104" s="235">
        <v>0</v>
      </c>
      <c r="D104" s="29"/>
      <c r="E104" s="2431" t="s">
        <v>1746</v>
      </c>
      <c r="F104" s="2432"/>
      <c r="G104" s="237">
        <v>158899898</v>
      </c>
      <c r="H104" s="237">
        <v>14656565</v>
      </c>
    </row>
    <row r="105" spans="1:8" ht="14.4" thickBot="1" x14ac:dyDescent="0.3">
      <c r="A105" s="242" t="s">
        <v>112</v>
      </c>
      <c r="B105" s="229"/>
      <c r="C105" s="236"/>
      <c r="D105" s="29"/>
      <c r="E105" s="2431" t="s">
        <v>1747</v>
      </c>
      <c r="F105" s="2432"/>
      <c r="G105" s="237">
        <v>5565656565</v>
      </c>
      <c r="H105" s="237">
        <v>16565656</v>
      </c>
    </row>
    <row r="106" spans="1:8" ht="15" thickTop="1" thickBot="1" x14ac:dyDescent="0.3">
      <c r="A106" s="1549" t="s">
        <v>35</v>
      </c>
      <c r="B106" s="1550">
        <f>SUM(B102:B105)</f>
        <v>938906898</v>
      </c>
      <c r="C106" s="1550">
        <f>SUM(C102:C105)</f>
        <v>258934000</v>
      </c>
      <c r="D106" s="29"/>
      <c r="E106" s="2431" t="s">
        <v>446</v>
      </c>
      <c r="F106" s="2432"/>
      <c r="G106" s="237">
        <v>0</v>
      </c>
      <c r="H106" s="237">
        <v>0</v>
      </c>
    </row>
    <row r="107" spans="1:8" ht="15" thickTop="1" thickBot="1" x14ac:dyDescent="0.3">
      <c r="A107" s="29"/>
      <c r="B107" s="29"/>
      <c r="C107" s="29"/>
      <c r="D107" s="29"/>
      <c r="E107" s="2431" t="s">
        <v>441</v>
      </c>
      <c r="F107" s="2432"/>
      <c r="G107" s="237">
        <v>0</v>
      </c>
      <c r="H107" s="237">
        <v>0</v>
      </c>
    </row>
    <row r="108" spans="1:8" ht="28.5" customHeight="1" thickTop="1" thickBot="1" x14ac:dyDescent="0.3">
      <c r="A108" s="2435" t="s">
        <v>447</v>
      </c>
      <c r="B108" s="2436"/>
      <c r="C108" s="2437"/>
      <c r="D108" s="29"/>
      <c r="E108" s="2431" t="s">
        <v>442</v>
      </c>
      <c r="F108" s="2432"/>
      <c r="G108" s="237">
        <v>0</v>
      </c>
      <c r="H108" s="237">
        <v>0</v>
      </c>
    </row>
    <row r="109" spans="1:8" ht="39" customHeight="1" thickTop="1" x14ac:dyDescent="0.25">
      <c r="A109" s="44" t="s">
        <v>111</v>
      </c>
      <c r="B109" s="45" t="s">
        <v>9</v>
      </c>
      <c r="C109" s="45" t="s">
        <v>1742</v>
      </c>
      <c r="D109" s="29"/>
      <c r="E109" s="2440" t="s">
        <v>443</v>
      </c>
      <c r="F109" s="2441"/>
      <c r="G109" s="237">
        <v>5000000000</v>
      </c>
      <c r="H109" s="237">
        <v>3875000000</v>
      </c>
    </row>
    <row r="110" spans="1:8" ht="16.5" customHeight="1" x14ac:dyDescent="0.25">
      <c r="A110" s="240">
        <v>2020</v>
      </c>
      <c r="B110" s="225">
        <v>598959565</v>
      </c>
      <c r="C110" s="239">
        <v>576000000</v>
      </c>
      <c r="D110" s="1225"/>
      <c r="E110" s="2431" t="s">
        <v>444</v>
      </c>
      <c r="F110" s="2432"/>
      <c r="G110" s="237">
        <v>0</v>
      </c>
      <c r="H110" s="238">
        <v>0</v>
      </c>
    </row>
    <row r="111" spans="1:8" ht="14.4" thickBot="1" x14ac:dyDescent="0.3">
      <c r="A111" s="240">
        <v>2021</v>
      </c>
      <c r="B111" s="225">
        <v>1655656565</v>
      </c>
      <c r="C111" s="239">
        <v>1516689898</v>
      </c>
      <c r="D111" s="29"/>
      <c r="E111" s="2466" t="s">
        <v>445</v>
      </c>
      <c r="F111" s="2467"/>
      <c r="G111" s="1551">
        <f>SUM(G102:G110)</f>
        <v>15099023463</v>
      </c>
      <c r="H111" s="1552">
        <f>SUM(H102:H110)</f>
        <v>8097695221</v>
      </c>
    </row>
    <row r="112" spans="1:8" ht="14.4" thickTop="1" x14ac:dyDescent="0.25">
      <c r="A112" s="240">
        <v>2022</v>
      </c>
      <c r="B112" s="225">
        <v>16465656</v>
      </c>
      <c r="C112" s="239">
        <v>16465656</v>
      </c>
      <c r="D112" s="29"/>
      <c r="E112" s="29"/>
      <c r="F112" s="29"/>
      <c r="G112" s="29"/>
    </row>
    <row r="113" spans="1:7" ht="14.4" thickBot="1" x14ac:dyDescent="0.3">
      <c r="A113" s="241">
        <v>2023</v>
      </c>
      <c r="B113" s="227">
        <v>565656656</v>
      </c>
      <c r="C113" s="239">
        <v>565454540</v>
      </c>
      <c r="D113" s="1231"/>
      <c r="E113" s="29"/>
      <c r="F113" s="29"/>
      <c r="G113" s="29"/>
    </row>
    <row r="114" spans="1:7" ht="15" thickTop="1" thickBot="1" x14ac:dyDescent="0.3">
      <c r="A114" s="46" t="s">
        <v>445</v>
      </c>
      <c r="B114" s="47">
        <f>SUM(B110:B113)</f>
        <v>2836738442</v>
      </c>
      <c r="C114" s="48">
        <f>SUM(C110:C113)</f>
        <v>2674610094</v>
      </c>
      <c r="D114" s="29"/>
      <c r="E114" s="29"/>
      <c r="F114" s="29"/>
      <c r="G114" s="29"/>
    </row>
    <row r="115" spans="1:7" ht="27.75" customHeight="1" thickTop="1" thickBot="1" x14ac:dyDescent="0.3">
      <c r="A115" s="29"/>
      <c r="B115" s="29"/>
      <c r="C115" s="29"/>
      <c r="D115" s="29"/>
      <c r="E115" s="29"/>
      <c r="F115" s="29"/>
      <c r="G115" s="29"/>
    </row>
    <row r="116" spans="1:7" ht="35.25" customHeight="1" thickTop="1" x14ac:dyDescent="0.25">
      <c r="A116" s="2460" t="s">
        <v>452</v>
      </c>
      <c r="B116" s="2461"/>
      <c r="C116" s="1553" t="s">
        <v>453</v>
      </c>
      <c r="D116" s="1554" t="s">
        <v>1740</v>
      </c>
      <c r="E116" s="1554" t="s">
        <v>1743</v>
      </c>
      <c r="F116" s="29"/>
      <c r="G116" s="29"/>
    </row>
    <row r="117" spans="1:7" ht="24.75" customHeight="1" x14ac:dyDescent="0.25">
      <c r="A117" s="2462" t="s">
        <v>454</v>
      </c>
      <c r="B117" s="2463"/>
      <c r="C117" s="1555">
        <f>D21</f>
        <v>2172366520</v>
      </c>
      <c r="D117" s="1556">
        <f>F21</f>
        <v>924307453</v>
      </c>
      <c r="E117" s="1557">
        <f>+D117/C117</f>
        <v>0.42548411812201931</v>
      </c>
      <c r="F117" s="29"/>
      <c r="G117" s="29"/>
    </row>
    <row r="118" spans="1:7" ht="38.25" customHeight="1" x14ac:dyDescent="0.25">
      <c r="A118" s="2462" t="s">
        <v>449</v>
      </c>
      <c r="B118" s="2463"/>
      <c r="C118" s="1558">
        <f>B106</f>
        <v>938906898</v>
      </c>
      <c r="D118" s="1559">
        <f>C106</f>
        <v>258934000</v>
      </c>
      <c r="E118" s="1557">
        <f>+D118/C118</f>
        <v>0.27578240244220681</v>
      </c>
      <c r="F118" s="29"/>
      <c r="G118" s="29"/>
    </row>
    <row r="119" spans="1:7" ht="43.5" customHeight="1" x14ac:dyDescent="0.25">
      <c r="A119" s="2462" t="s">
        <v>455</v>
      </c>
      <c r="B119" s="2463"/>
      <c r="C119" s="1560">
        <f>+G111</f>
        <v>15099023463</v>
      </c>
      <c r="D119" s="1559">
        <f>H111</f>
        <v>8097695221</v>
      </c>
      <c r="E119" s="1561">
        <f>+D119/C119</f>
        <v>0.53630589030100639</v>
      </c>
      <c r="F119" s="29"/>
      <c r="G119" s="29"/>
    </row>
    <row r="120" spans="1:7" ht="33.75" customHeight="1" thickBot="1" x14ac:dyDescent="0.3">
      <c r="A120" s="2464" t="s">
        <v>456</v>
      </c>
      <c r="B120" s="2465"/>
      <c r="C120" s="1562">
        <f>B114</f>
        <v>2836738442</v>
      </c>
      <c r="D120" s="1563">
        <f>C114</f>
        <v>2674610094</v>
      </c>
      <c r="E120" s="1564">
        <f>+D120/C120</f>
        <v>0.94284691686777655</v>
      </c>
      <c r="F120" s="29"/>
      <c r="G120" s="29"/>
    </row>
    <row r="121" spans="1:7" ht="20.100000000000001" customHeight="1" thickTop="1" thickBot="1" x14ac:dyDescent="0.3">
      <c r="A121" s="2458" t="s">
        <v>35</v>
      </c>
      <c r="B121" s="2459"/>
      <c r="C121" s="1565">
        <f>SUM(C117:C120)</f>
        <v>21047035323</v>
      </c>
      <c r="D121" s="1566">
        <f>SUM(D117:D120)</f>
        <v>11955546768</v>
      </c>
      <c r="E121" s="1567">
        <f>+D121/C121</f>
        <v>0.56803946895718338</v>
      </c>
      <c r="F121" s="29"/>
      <c r="G121" s="29"/>
    </row>
    <row r="122" spans="1:7" ht="14.4" thickTop="1" x14ac:dyDescent="0.25">
      <c r="A122" s="29"/>
      <c r="B122" s="29"/>
      <c r="C122" s="29"/>
      <c r="D122" s="29"/>
      <c r="E122" s="29"/>
      <c r="F122" s="29"/>
      <c r="G122" s="29"/>
    </row>
    <row r="123" spans="1:7" ht="14.4" thickBot="1" x14ac:dyDescent="0.3">
      <c r="A123" s="29"/>
      <c r="B123" s="29"/>
      <c r="C123" s="29"/>
      <c r="D123" s="29"/>
      <c r="E123" s="29"/>
      <c r="F123" s="29"/>
      <c r="G123" s="29"/>
    </row>
    <row r="124" spans="1:7" s="29" customFormat="1" x14ac:dyDescent="0.25">
      <c r="A124" s="1568" t="s">
        <v>464</v>
      </c>
      <c r="B124" s="2450" t="s">
        <v>465</v>
      </c>
      <c r="C124" s="2451"/>
      <c r="D124" s="1569" t="s">
        <v>467</v>
      </c>
      <c r="E124" s="1570" t="s">
        <v>466</v>
      </c>
    </row>
    <row r="125" spans="1:7" s="29" customFormat="1" ht="24" customHeight="1" x14ac:dyDescent="0.25">
      <c r="A125" s="1571"/>
      <c r="B125" s="2452"/>
      <c r="C125" s="2453"/>
      <c r="D125" s="1271"/>
      <c r="E125" s="250"/>
    </row>
    <row r="126" spans="1:7" s="29" customFormat="1" ht="24" customHeight="1" x14ac:dyDescent="0.25">
      <c r="A126" s="1571"/>
      <c r="B126" s="2452"/>
      <c r="C126" s="2453"/>
      <c r="D126" s="1271"/>
      <c r="E126" s="250"/>
    </row>
    <row r="127" spans="1:7" s="29" customFormat="1" ht="24" customHeight="1" x14ac:dyDescent="0.25">
      <c r="A127" s="1571"/>
      <c r="B127" s="2452"/>
      <c r="C127" s="2453"/>
      <c r="D127" s="1271"/>
      <c r="E127" s="250"/>
    </row>
    <row r="128" spans="1:7" s="29" customFormat="1" ht="24" customHeight="1" x14ac:dyDescent="0.25">
      <c r="A128" s="1571"/>
      <c r="B128" s="2452"/>
      <c r="C128" s="2453"/>
      <c r="D128" s="1271"/>
      <c r="E128" s="250"/>
    </row>
    <row r="129" spans="1:7" s="29" customFormat="1" ht="24" customHeight="1" x14ac:dyDescent="0.25">
      <c r="A129" s="1571"/>
      <c r="B129" s="2452"/>
      <c r="C129" s="2453"/>
      <c r="D129" s="1271"/>
      <c r="E129" s="250"/>
    </row>
    <row r="130" spans="1:7" s="29" customFormat="1" ht="24" customHeight="1" x14ac:dyDescent="0.25">
      <c r="A130" s="1571"/>
      <c r="B130" s="2454"/>
      <c r="C130" s="2455"/>
      <c r="D130" s="1271"/>
      <c r="E130" s="250"/>
    </row>
    <row r="131" spans="1:7" s="29" customFormat="1" ht="24" customHeight="1" x14ac:dyDescent="0.25">
      <c r="A131" s="1571"/>
      <c r="B131" s="2454"/>
      <c r="C131" s="2455"/>
      <c r="D131" s="1271"/>
      <c r="E131" s="250"/>
    </row>
    <row r="132" spans="1:7" ht="24" customHeight="1" thickBot="1" x14ac:dyDescent="0.3">
      <c r="A132" s="33"/>
      <c r="B132" s="2456"/>
      <c r="C132" s="2457"/>
      <c r="D132" s="1270"/>
      <c r="E132" s="251"/>
      <c r="F132" s="29"/>
      <c r="G132" s="29"/>
    </row>
    <row r="133" spans="1:7" ht="14.4" thickBot="1" x14ac:dyDescent="0.3">
      <c r="A133" s="33"/>
      <c r="B133" s="33"/>
      <c r="C133" s="33"/>
      <c r="D133" s="51"/>
      <c r="E133" s="33"/>
      <c r="F133" s="29"/>
      <c r="G133" s="29"/>
    </row>
    <row r="134" spans="1:7" ht="18.75" customHeight="1" x14ac:dyDescent="0.25">
      <c r="A134" s="1568" t="s">
        <v>117</v>
      </c>
      <c r="B134" s="2442" t="s">
        <v>465</v>
      </c>
      <c r="C134" s="2443"/>
      <c r="D134" s="2446" t="s">
        <v>466</v>
      </c>
      <c r="E134" s="2447"/>
      <c r="F134" s="29"/>
      <c r="G134" s="29"/>
    </row>
    <row r="135" spans="1:7" ht="27.75" customHeight="1" thickBot="1" x14ac:dyDescent="0.3">
      <c r="A135" s="33"/>
      <c r="B135" s="2444"/>
      <c r="C135" s="2445"/>
      <c r="D135" s="2448"/>
      <c r="E135" s="2449"/>
      <c r="F135" s="29"/>
      <c r="G135" s="29"/>
    </row>
    <row r="136" spans="1:7" x14ac:dyDescent="0.25">
      <c r="A136" s="29"/>
      <c r="B136" s="29"/>
      <c r="C136" s="29"/>
      <c r="D136" s="29"/>
      <c r="E136" s="29"/>
      <c r="F136" s="29"/>
      <c r="G136" s="29"/>
    </row>
    <row r="137" spans="1:7" x14ac:dyDescent="0.25">
      <c r="A137" s="29"/>
      <c r="B137" s="29"/>
      <c r="C137" s="29"/>
      <c r="D137" s="29"/>
      <c r="E137" s="29"/>
      <c r="F137" s="29"/>
      <c r="G137" s="29"/>
    </row>
    <row r="138" spans="1:7" x14ac:dyDescent="0.25">
      <c r="A138" s="29"/>
      <c r="B138" s="29"/>
      <c r="C138" s="29"/>
      <c r="D138" s="29"/>
      <c r="E138" s="29"/>
      <c r="F138" s="29"/>
      <c r="G138" s="29"/>
    </row>
    <row r="139" spans="1:7" x14ac:dyDescent="0.25">
      <c r="A139" s="29"/>
      <c r="B139" s="29"/>
      <c r="C139" s="29"/>
      <c r="D139" s="29"/>
      <c r="E139" s="29"/>
      <c r="F139" s="29"/>
      <c r="G139" s="29"/>
    </row>
    <row r="140" spans="1:7" x14ac:dyDescent="0.25">
      <c r="A140" s="29"/>
      <c r="B140" s="29"/>
      <c r="C140" s="29"/>
      <c r="D140" s="29"/>
      <c r="E140" s="29"/>
      <c r="F140" s="29"/>
      <c r="G140" s="29"/>
    </row>
    <row r="141" spans="1:7" x14ac:dyDescent="0.25">
      <c r="A141" s="29"/>
      <c r="B141" s="29"/>
      <c r="C141" s="29"/>
      <c r="D141" s="29"/>
      <c r="E141" s="29"/>
      <c r="F141" s="29"/>
      <c r="G141" s="29"/>
    </row>
    <row r="142" spans="1:7" x14ac:dyDescent="0.25">
      <c r="A142" s="29"/>
      <c r="B142" s="29"/>
      <c r="C142" s="29"/>
      <c r="D142" s="29"/>
      <c r="E142" s="29"/>
      <c r="F142" s="29"/>
      <c r="G142" s="29"/>
    </row>
    <row r="143" spans="1:7" x14ac:dyDescent="0.25">
      <c r="A143" s="29"/>
      <c r="B143" s="29"/>
      <c r="C143" s="29"/>
      <c r="D143" s="29"/>
      <c r="E143" s="29"/>
      <c r="F143" s="29"/>
      <c r="G143" s="29"/>
    </row>
    <row r="144" spans="1:7" x14ac:dyDescent="0.25">
      <c r="A144" s="29"/>
      <c r="B144" s="29"/>
      <c r="C144" s="29"/>
      <c r="D144" s="29"/>
      <c r="E144" s="29"/>
      <c r="F144" s="29"/>
      <c r="G144" s="29"/>
    </row>
    <row r="145" spans="1:7" x14ac:dyDescent="0.25">
      <c r="A145" s="29"/>
      <c r="B145" s="29"/>
      <c r="C145" s="29"/>
      <c r="D145" s="29"/>
      <c r="E145" s="29"/>
      <c r="F145" s="29"/>
      <c r="G145" s="29"/>
    </row>
    <row r="146" spans="1:7" x14ac:dyDescent="0.25">
      <c r="A146" s="29"/>
      <c r="B146" s="29"/>
      <c r="C146" s="29"/>
      <c r="D146" s="29"/>
      <c r="E146" s="29"/>
      <c r="F146" s="29"/>
      <c r="G146" s="29"/>
    </row>
    <row r="147" spans="1:7" x14ac:dyDescent="0.25">
      <c r="A147" s="29"/>
      <c r="B147" s="29"/>
      <c r="C147" s="29"/>
      <c r="D147" s="29"/>
      <c r="E147" s="29"/>
      <c r="F147" s="29"/>
      <c r="G147" s="29"/>
    </row>
    <row r="148" spans="1:7" x14ac:dyDescent="0.25">
      <c r="A148" s="29"/>
      <c r="B148" s="29"/>
      <c r="C148" s="29"/>
      <c r="D148" s="29"/>
      <c r="E148" s="29"/>
      <c r="F148" s="29"/>
      <c r="G148" s="29"/>
    </row>
    <row r="149" spans="1:7" x14ac:dyDescent="0.25">
      <c r="A149" s="29"/>
      <c r="B149" s="29"/>
      <c r="C149" s="29"/>
      <c r="D149" s="29"/>
      <c r="E149" s="29"/>
      <c r="F149" s="29"/>
      <c r="G149" s="29"/>
    </row>
    <row r="150" spans="1:7" x14ac:dyDescent="0.25">
      <c r="A150" s="29"/>
      <c r="B150" s="29"/>
      <c r="C150" s="29"/>
      <c r="D150" s="29"/>
      <c r="E150" s="29"/>
      <c r="F150" s="29"/>
      <c r="G150" s="29"/>
    </row>
    <row r="151" spans="1:7" x14ac:dyDescent="0.25">
      <c r="A151" s="29"/>
      <c r="B151" s="29"/>
      <c r="C151" s="29"/>
      <c r="D151" s="29"/>
      <c r="E151" s="29"/>
      <c r="F151" s="29"/>
      <c r="G151" s="29"/>
    </row>
    <row r="152" spans="1:7" x14ac:dyDescent="0.25">
      <c r="A152" s="29"/>
      <c r="B152" s="29"/>
      <c r="C152" s="29"/>
      <c r="D152" s="29"/>
      <c r="E152" s="29"/>
      <c r="F152" s="29"/>
      <c r="G152" s="29"/>
    </row>
    <row r="153" spans="1:7" x14ac:dyDescent="0.25">
      <c r="A153" s="29"/>
      <c r="B153" s="29"/>
      <c r="C153" s="29"/>
      <c r="D153" s="29"/>
      <c r="E153" s="29"/>
      <c r="F153" s="29"/>
      <c r="G153" s="29"/>
    </row>
    <row r="154" spans="1:7" x14ac:dyDescent="0.25">
      <c r="A154" s="29"/>
      <c r="B154" s="29"/>
      <c r="C154" s="29"/>
      <c r="D154" s="29"/>
      <c r="E154" s="29"/>
      <c r="F154" s="29"/>
      <c r="G154" s="29"/>
    </row>
    <row r="155" spans="1:7" x14ac:dyDescent="0.25">
      <c r="A155" s="29"/>
      <c r="B155" s="29"/>
      <c r="C155" s="29"/>
      <c r="D155" s="29"/>
      <c r="E155" s="29"/>
      <c r="F155" s="29"/>
      <c r="G155" s="29"/>
    </row>
    <row r="156" spans="1:7" x14ac:dyDescent="0.25">
      <c r="A156" s="29"/>
      <c r="B156" s="29"/>
      <c r="C156" s="29"/>
      <c r="D156" s="29"/>
      <c r="E156" s="29"/>
      <c r="F156" s="29"/>
      <c r="G156" s="29"/>
    </row>
    <row r="157" spans="1:7" x14ac:dyDescent="0.25">
      <c r="A157" s="29"/>
      <c r="B157" s="29"/>
      <c r="C157" s="29"/>
      <c r="D157" s="29"/>
      <c r="E157" s="29"/>
      <c r="F157" s="29"/>
      <c r="G157" s="29"/>
    </row>
    <row r="158" spans="1:7" x14ac:dyDescent="0.25">
      <c r="A158" s="29"/>
      <c r="B158" s="29"/>
      <c r="C158" s="29"/>
      <c r="D158" s="29"/>
      <c r="E158" s="29"/>
      <c r="F158" s="29"/>
      <c r="G158" s="29"/>
    </row>
    <row r="159" spans="1:7" x14ac:dyDescent="0.25">
      <c r="A159" s="29"/>
      <c r="B159" s="29"/>
      <c r="C159" s="29"/>
      <c r="D159" s="29"/>
      <c r="E159" s="29"/>
      <c r="F159" s="29"/>
      <c r="G159" s="29"/>
    </row>
    <row r="160" spans="1:7" x14ac:dyDescent="0.25">
      <c r="A160" s="29"/>
      <c r="B160" s="29"/>
      <c r="C160" s="29"/>
      <c r="D160" s="29"/>
      <c r="E160" s="29"/>
      <c r="F160" s="29"/>
      <c r="G160" s="29"/>
    </row>
    <row r="161" spans="1:7" x14ac:dyDescent="0.25">
      <c r="A161" s="29"/>
      <c r="B161" s="29"/>
      <c r="C161" s="29"/>
      <c r="D161" s="29"/>
      <c r="E161" s="29"/>
      <c r="F161" s="29"/>
      <c r="G161" s="29"/>
    </row>
    <row r="162" spans="1:7" x14ac:dyDescent="0.25">
      <c r="A162" s="29"/>
      <c r="B162" s="29"/>
      <c r="C162" s="29"/>
      <c r="D162" s="29"/>
      <c r="E162" s="29"/>
      <c r="F162" s="29"/>
      <c r="G162" s="29"/>
    </row>
    <row r="163" spans="1:7" x14ac:dyDescent="0.25">
      <c r="A163" s="29"/>
      <c r="B163" s="29"/>
      <c r="C163" s="29"/>
      <c r="D163" s="29"/>
      <c r="E163" s="29"/>
      <c r="F163" s="29"/>
      <c r="G163" s="29"/>
    </row>
    <row r="164" spans="1:7" x14ac:dyDescent="0.25">
      <c r="A164" s="29"/>
      <c r="B164" s="29"/>
      <c r="C164" s="29"/>
      <c r="D164" s="29"/>
      <c r="E164" s="29"/>
      <c r="F164" s="29"/>
      <c r="G164" s="29"/>
    </row>
    <row r="165" spans="1:7" x14ac:dyDescent="0.25">
      <c r="A165" s="29"/>
      <c r="B165" s="29"/>
      <c r="C165" s="29"/>
      <c r="D165" s="29"/>
      <c r="E165" s="29"/>
      <c r="F165" s="29"/>
      <c r="G165" s="29"/>
    </row>
    <row r="166" spans="1:7" x14ac:dyDescent="0.25">
      <c r="A166" s="29"/>
      <c r="B166" s="29"/>
      <c r="C166" s="29"/>
      <c r="D166" s="29"/>
      <c r="E166" s="29"/>
      <c r="F166" s="29"/>
      <c r="G166" s="29"/>
    </row>
    <row r="167" spans="1:7" x14ac:dyDescent="0.25">
      <c r="A167" s="29"/>
      <c r="B167" s="29"/>
      <c r="C167" s="29"/>
      <c r="D167" s="29"/>
      <c r="E167" s="29"/>
      <c r="F167" s="29"/>
      <c r="G167" s="29"/>
    </row>
    <row r="168" spans="1:7" x14ac:dyDescent="0.25">
      <c r="A168" s="29"/>
      <c r="B168" s="29"/>
      <c r="C168" s="29"/>
      <c r="D168" s="29"/>
      <c r="E168" s="29"/>
      <c r="F168" s="29"/>
      <c r="G168" s="29"/>
    </row>
    <row r="169" spans="1:7" x14ac:dyDescent="0.25">
      <c r="A169" s="29"/>
      <c r="B169" s="29"/>
      <c r="C169" s="29"/>
      <c r="D169" s="29"/>
      <c r="E169" s="29"/>
      <c r="F169" s="29"/>
      <c r="G169" s="29"/>
    </row>
    <row r="170" spans="1:7" x14ac:dyDescent="0.25">
      <c r="A170" s="29"/>
      <c r="B170" s="29"/>
      <c r="C170" s="29"/>
      <c r="D170" s="29"/>
      <c r="E170" s="29"/>
      <c r="F170" s="29"/>
      <c r="G170" s="29"/>
    </row>
    <row r="171" spans="1:7" x14ac:dyDescent="0.25">
      <c r="A171" s="29"/>
      <c r="B171" s="29"/>
      <c r="C171" s="29"/>
      <c r="D171" s="29"/>
      <c r="E171" s="29"/>
      <c r="F171" s="29"/>
      <c r="G171" s="29"/>
    </row>
    <row r="172" spans="1:7" x14ac:dyDescent="0.25">
      <c r="A172" s="29"/>
      <c r="B172" s="29"/>
      <c r="C172" s="29"/>
      <c r="D172" s="29"/>
      <c r="E172" s="29"/>
      <c r="F172" s="29"/>
      <c r="G172" s="29"/>
    </row>
    <row r="173" spans="1:7" x14ac:dyDescent="0.25">
      <c r="A173" s="29"/>
      <c r="B173" s="29"/>
      <c r="C173" s="29"/>
      <c r="D173" s="29"/>
      <c r="E173" s="29"/>
      <c r="F173" s="29"/>
      <c r="G173" s="29"/>
    </row>
    <row r="174" spans="1:7" x14ac:dyDescent="0.25">
      <c r="A174" s="29"/>
      <c r="B174" s="29"/>
      <c r="C174" s="29"/>
      <c r="D174" s="29"/>
      <c r="E174" s="29"/>
      <c r="F174" s="29"/>
      <c r="G174" s="29"/>
    </row>
    <row r="175" spans="1:7" x14ac:dyDescent="0.25">
      <c r="A175" s="29"/>
      <c r="B175" s="29"/>
      <c r="C175" s="29"/>
      <c r="D175" s="29"/>
      <c r="E175" s="29"/>
      <c r="F175" s="29"/>
      <c r="G175" s="29"/>
    </row>
    <row r="176" spans="1:7" x14ac:dyDescent="0.25">
      <c r="A176" s="29"/>
      <c r="B176" s="29"/>
      <c r="C176" s="29"/>
      <c r="D176" s="29"/>
      <c r="E176" s="29"/>
      <c r="F176" s="29"/>
      <c r="G176" s="29"/>
    </row>
    <row r="177" spans="1:7" x14ac:dyDescent="0.25">
      <c r="A177" s="29"/>
      <c r="B177" s="29"/>
      <c r="C177" s="29"/>
      <c r="D177" s="29"/>
      <c r="E177" s="29"/>
      <c r="F177" s="29"/>
      <c r="G177" s="29"/>
    </row>
    <row r="178" spans="1:7" x14ac:dyDescent="0.25">
      <c r="A178" s="29"/>
      <c r="B178" s="29"/>
      <c r="C178" s="29"/>
      <c r="D178" s="29"/>
      <c r="E178" s="29"/>
      <c r="F178" s="29"/>
      <c r="G178" s="29"/>
    </row>
    <row r="179" spans="1:7" x14ac:dyDescent="0.25">
      <c r="A179" s="29"/>
      <c r="B179" s="29"/>
      <c r="C179" s="29"/>
      <c r="D179" s="29"/>
      <c r="E179" s="29"/>
      <c r="F179" s="29"/>
      <c r="G179" s="29"/>
    </row>
    <row r="180" spans="1:7" x14ac:dyDescent="0.25">
      <c r="A180" s="29"/>
      <c r="B180" s="29"/>
      <c r="C180" s="29"/>
      <c r="D180" s="29"/>
      <c r="E180" s="29"/>
      <c r="F180" s="29"/>
      <c r="G180" s="29"/>
    </row>
    <row r="181" spans="1:7" x14ac:dyDescent="0.25">
      <c r="A181" s="29"/>
      <c r="B181" s="29"/>
      <c r="C181" s="29"/>
      <c r="D181" s="29"/>
      <c r="E181" s="29"/>
      <c r="F181" s="29"/>
      <c r="G181" s="29"/>
    </row>
    <row r="182" spans="1:7" x14ac:dyDescent="0.25">
      <c r="A182" s="29"/>
      <c r="B182" s="29"/>
      <c r="C182" s="29"/>
      <c r="D182" s="29"/>
      <c r="E182" s="29"/>
      <c r="F182" s="29"/>
      <c r="G182" s="29"/>
    </row>
    <row r="183" spans="1:7" x14ac:dyDescent="0.25">
      <c r="A183" s="29"/>
      <c r="B183" s="29"/>
      <c r="C183" s="29"/>
      <c r="D183" s="29"/>
      <c r="E183" s="29"/>
      <c r="F183" s="29"/>
      <c r="G183" s="29"/>
    </row>
    <row r="184" spans="1:7" x14ac:dyDescent="0.25">
      <c r="A184" s="29"/>
      <c r="B184" s="29"/>
      <c r="C184" s="29"/>
      <c r="D184" s="29"/>
      <c r="E184" s="29"/>
      <c r="F184" s="29"/>
      <c r="G184" s="29"/>
    </row>
    <row r="185" spans="1:7" x14ac:dyDescent="0.25">
      <c r="A185" s="29"/>
      <c r="B185" s="29"/>
      <c r="C185" s="29"/>
      <c r="D185" s="29"/>
      <c r="E185" s="29"/>
      <c r="F185" s="29"/>
      <c r="G185" s="29"/>
    </row>
    <row r="186" spans="1:7" x14ac:dyDescent="0.25">
      <c r="A186" s="29"/>
      <c r="B186" s="29"/>
      <c r="C186" s="29"/>
      <c r="D186" s="29"/>
      <c r="E186" s="29"/>
      <c r="F186" s="29"/>
      <c r="G186" s="29"/>
    </row>
    <row r="187" spans="1:7" x14ac:dyDescent="0.25">
      <c r="A187" s="29"/>
      <c r="B187" s="29"/>
      <c r="C187" s="29"/>
      <c r="D187" s="29"/>
      <c r="E187" s="29"/>
      <c r="F187" s="29"/>
      <c r="G187" s="29"/>
    </row>
    <row r="188" spans="1:7" x14ac:dyDescent="0.25">
      <c r="A188" s="29"/>
      <c r="B188" s="29"/>
      <c r="C188" s="29"/>
      <c r="D188" s="29"/>
      <c r="E188" s="29"/>
      <c r="F188" s="29"/>
      <c r="G188" s="29"/>
    </row>
    <row r="189" spans="1:7" x14ac:dyDescent="0.25">
      <c r="A189" s="29"/>
      <c r="B189" s="29"/>
      <c r="C189" s="29"/>
      <c r="D189" s="29"/>
      <c r="E189" s="29"/>
      <c r="F189" s="29"/>
      <c r="G189" s="29"/>
    </row>
    <row r="190" spans="1:7" x14ac:dyDescent="0.25">
      <c r="A190" s="29"/>
      <c r="B190" s="29"/>
      <c r="C190" s="29"/>
      <c r="D190" s="29"/>
      <c r="E190" s="29"/>
      <c r="F190" s="29"/>
      <c r="G190" s="29"/>
    </row>
    <row r="191" spans="1:7" x14ac:dyDescent="0.25">
      <c r="A191" s="29"/>
      <c r="B191" s="29"/>
      <c r="C191" s="29"/>
      <c r="D191" s="29"/>
      <c r="E191" s="29"/>
      <c r="F191" s="29"/>
      <c r="G191" s="29"/>
    </row>
    <row r="192" spans="1:7" x14ac:dyDescent="0.25">
      <c r="A192" s="29"/>
      <c r="B192" s="29"/>
      <c r="C192" s="29"/>
      <c r="D192" s="29"/>
      <c r="E192" s="29"/>
      <c r="F192" s="29"/>
      <c r="G192" s="29"/>
    </row>
    <row r="193" spans="1:7" x14ac:dyDescent="0.25">
      <c r="A193" s="29"/>
      <c r="B193" s="29"/>
      <c r="C193" s="29"/>
      <c r="D193" s="29"/>
      <c r="E193" s="29"/>
      <c r="F193" s="29"/>
      <c r="G193" s="29"/>
    </row>
    <row r="194" spans="1:7" x14ac:dyDescent="0.25">
      <c r="A194" s="29"/>
      <c r="B194" s="29"/>
      <c r="C194" s="29"/>
      <c r="D194" s="29"/>
      <c r="E194" s="29"/>
      <c r="F194" s="29"/>
      <c r="G194" s="29"/>
    </row>
    <row r="195" spans="1:7" x14ac:dyDescent="0.25">
      <c r="A195" s="29"/>
      <c r="B195" s="29"/>
      <c r="C195" s="29"/>
      <c r="D195" s="29"/>
      <c r="E195" s="29"/>
      <c r="F195" s="29"/>
      <c r="G195" s="29"/>
    </row>
    <row r="196" spans="1:7" x14ac:dyDescent="0.25">
      <c r="A196" s="29"/>
      <c r="B196" s="29"/>
      <c r="C196" s="29"/>
      <c r="D196" s="29"/>
      <c r="E196" s="29"/>
      <c r="F196" s="29"/>
      <c r="G196" s="29"/>
    </row>
    <row r="197" spans="1:7" x14ac:dyDescent="0.25">
      <c r="A197" s="29"/>
      <c r="B197" s="29"/>
      <c r="C197" s="29"/>
      <c r="D197" s="29"/>
      <c r="E197" s="29"/>
      <c r="F197" s="29"/>
      <c r="G197" s="29"/>
    </row>
    <row r="198" spans="1:7" x14ac:dyDescent="0.25">
      <c r="A198" s="29"/>
      <c r="B198" s="29"/>
      <c r="C198" s="29"/>
      <c r="D198" s="29"/>
      <c r="E198" s="29"/>
      <c r="F198" s="29"/>
      <c r="G198" s="29"/>
    </row>
    <row r="199" spans="1:7" x14ac:dyDescent="0.25">
      <c r="A199" s="29"/>
      <c r="B199" s="29"/>
      <c r="C199" s="29"/>
      <c r="D199" s="29"/>
      <c r="E199" s="29"/>
      <c r="F199" s="29"/>
      <c r="G199" s="29"/>
    </row>
    <row r="200" spans="1:7" x14ac:dyDescent="0.25">
      <c r="A200" s="29"/>
      <c r="B200" s="29"/>
      <c r="C200" s="29"/>
      <c r="D200" s="29"/>
      <c r="E200" s="29"/>
      <c r="F200" s="29"/>
      <c r="G200" s="29"/>
    </row>
    <row r="201" spans="1:7" x14ac:dyDescent="0.25">
      <c r="A201" s="29"/>
      <c r="B201" s="29"/>
      <c r="C201" s="29"/>
      <c r="D201" s="29"/>
      <c r="E201" s="29"/>
      <c r="F201" s="29"/>
      <c r="G201" s="29"/>
    </row>
  </sheetData>
  <sheetProtection algorithmName="SHA-512" hashValue="3wrMLx6uBkF0B9JXCwLuHkJF7Q9ns9b0viH75RWbVsm800Mgi4EmC308DZa7bZg0pN6eetNpVfVnsenrUquIaA==" saltValue="5DkYiOtgswZXbzC7tfjsPA==" spinCount="100000" sheet="1" objects="1" scenarios="1" formatRows="0" insertRows="0"/>
  <mergeCells count="131">
    <mergeCell ref="A121:B121"/>
    <mergeCell ref="E106:F106"/>
    <mergeCell ref="A116:B116"/>
    <mergeCell ref="A117:B117"/>
    <mergeCell ref="A118:B118"/>
    <mergeCell ref="A119:B119"/>
    <mergeCell ref="A120:B120"/>
    <mergeCell ref="E111:F111"/>
    <mergeCell ref="E100:F101"/>
    <mergeCell ref="B134:C134"/>
    <mergeCell ref="B135:C135"/>
    <mergeCell ref="D134:E134"/>
    <mergeCell ref="D135:E135"/>
    <mergeCell ref="B124:C124"/>
    <mergeCell ref="B125:C125"/>
    <mergeCell ref="B130:C130"/>
    <mergeCell ref="B131:C131"/>
    <mergeCell ref="B132:C132"/>
    <mergeCell ref="B126:C126"/>
    <mergeCell ref="B127:C127"/>
    <mergeCell ref="B128:C128"/>
    <mergeCell ref="B129:C129"/>
    <mergeCell ref="A88:B88"/>
    <mergeCell ref="A89:B89"/>
    <mergeCell ref="E107:F107"/>
    <mergeCell ref="E108:F108"/>
    <mergeCell ref="E110:F110"/>
    <mergeCell ref="A96:B96"/>
    <mergeCell ref="A97:B97"/>
    <mergeCell ref="A90:B90"/>
    <mergeCell ref="A91:B91"/>
    <mergeCell ref="A92:B92"/>
    <mergeCell ref="A93:B93"/>
    <mergeCell ref="A94:B94"/>
    <mergeCell ref="A95:B95"/>
    <mergeCell ref="A108:C108"/>
    <mergeCell ref="A100:C100"/>
    <mergeCell ref="E102:F102"/>
    <mergeCell ref="E109:F109"/>
    <mergeCell ref="E103:F103"/>
    <mergeCell ref="E104:F104"/>
    <mergeCell ref="E105:F105"/>
    <mergeCell ref="A98:G98"/>
    <mergeCell ref="H100:H101"/>
    <mergeCell ref="A66:B66"/>
    <mergeCell ref="A67:B67"/>
    <mergeCell ref="A68:B68"/>
    <mergeCell ref="A69:B69"/>
    <mergeCell ref="A70:B70"/>
    <mergeCell ref="A71:B71"/>
    <mergeCell ref="A78:B78"/>
    <mergeCell ref="A79:B79"/>
    <mergeCell ref="A80:B80"/>
    <mergeCell ref="G100:G101"/>
    <mergeCell ref="A83:B83"/>
    <mergeCell ref="A72:B72"/>
    <mergeCell ref="A73:B73"/>
    <mergeCell ref="A74:B74"/>
    <mergeCell ref="A75:B75"/>
    <mergeCell ref="A76:B76"/>
    <mergeCell ref="A77:B77"/>
    <mergeCell ref="A81:B81"/>
    <mergeCell ref="A82:B82"/>
    <mergeCell ref="A84:B84"/>
    <mergeCell ref="A85:B85"/>
    <mergeCell ref="A86:B86"/>
    <mergeCell ref="A87:B87"/>
    <mergeCell ref="A60:B60"/>
    <mergeCell ref="A61:B61"/>
    <mergeCell ref="A62:B62"/>
    <mergeCell ref="A63:B63"/>
    <mergeCell ref="A64:B64"/>
    <mergeCell ref="A65:B65"/>
    <mergeCell ref="A54:B54"/>
    <mergeCell ref="A55:B55"/>
    <mergeCell ref="A56:B56"/>
    <mergeCell ref="A57:B57"/>
    <mergeCell ref="A58:B58"/>
    <mergeCell ref="A59:B59"/>
    <mergeCell ref="A48:B48"/>
    <mergeCell ref="A49:B49"/>
    <mergeCell ref="A50:B50"/>
    <mergeCell ref="A51:B51"/>
    <mergeCell ref="A52:B52"/>
    <mergeCell ref="A53:B53"/>
    <mergeCell ref="A42:B42"/>
    <mergeCell ref="A43:B43"/>
    <mergeCell ref="A44:B44"/>
    <mergeCell ref="A45:B45"/>
    <mergeCell ref="A46:B46"/>
    <mergeCell ref="A47:B47"/>
    <mergeCell ref="A36:B36"/>
    <mergeCell ref="A37:B37"/>
    <mergeCell ref="A38:B38"/>
    <mergeCell ref="A39:B39"/>
    <mergeCell ref="A40:B40"/>
    <mergeCell ref="A41:B41"/>
    <mergeCell ref="A30:B30"/>
    <mergeCell ref="A31:B31"/>
    <mergeCell ref="A32:B32"/>
    <mergeCell ref="A33:B33"/>
    <mergeCell ref="A34:B34"/>
    <mergeCell ref="A35:B35"/>
    <mergeCell ref="A28:B28"/>
    <mergeCell ref="A29:B29"/>
    <mergeCell ref="A16:B16"/>
    <mergeCell ref="A17:B17"/>
    <mergeCell ref="A18:B18"/>
    <mergeCell ref="A19:B19"/>
    <mergeCell ref="A20:B20"/>
    <mergeCell ref="A21:B21"/>
    <mergeCell ref="A22:G22"/>
    <mergeCell ref="A23:G23"/>
    <mergeCell ref="A15:B15"/>
    <mergeCell ref="B5:C5"/>
    <mergeCell ref="B6:C6"/>
    <mergeCell ref="A8:G8"/>
    <mergeCell ref="A9:B9"/>
    <mergeCell ref="A24:B24"/>
    <mergeCell ref="A25:B25"/>
    <mergeCell ref="A26:B26"/>
    <mergeCell ref="A27:B27"/>
    <mergeCell ref="A2:G2"/>
    <mergeCell ref="A10:B10"/>
    <mergeCell ref="A11:B11"/>
    <mergeCell ref="A12:B12"/>
    <mergeCell ref="A13:B13"/>
    <mergeCell ref="B3:E3"/>
    <mergeCell ref="B4:E4"/>
    <mergeCell ref="B1:F1"/>
    <mergeCell ref="A14:B14"/>
  </mergeCells>
  <conditionalFormatting sqref="B1">
    <cfRule type="cellIs" dxfId="28" priority="1" operator="equal">
      <formula>"ERROR"</formula>
    </cfRule>
  </conditionalFormatting>
  <pageMargins left="0.7" right="0.7" top="0.75" bottom="0.75" header="0.3" footer="0.3"/>
  <pageSetup orientation="portrait" horizontalDpi="4294967295" verticalDpi="4294967295"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X86"/>
  <sheetViews>
    <sheetView showGridLines="0" topLeftCell="A19" zoomScaleNormal="100" workbookViewId="0">
      <selection activeCell="E3" sqref="E3"/>
    </sheetView>
  </sheetViews>
  <sheetFormatPr baseColWidth="10" defaultColWidth="11.44140625" defaultRowHeight="13.95" customHeight="1" x14ac:dyDescent="0.25"/>
  <cols>
    <col min="1" max="1" width="3.44140625" style="11" customWidth="1"/>
    <col min="2" max="2" width="34" style="11" customWidth="1"/>
    <col min="3" max="3" width="33.88671875" style="11" customWidth="1"/>
    <col min="4" max="4" width="32.6640625" style="11" customWidth="1"/>
    <col min="5" max="5" width="27.88671875" style="11" customWidth="1"/>
    <col min="6" max="6" width="34.88671875" style="11" customWidth="1"/>
    <col min="7" max="7" width="36.109375" style="11" customWidth="1"/>
    <col min="8" max="8" width="41.109375" style="11" customWidth="1"/>
    <col min="9" max="9" width="59.44140625" style="11" customWidth="1"/>
    <col min="10" max="10" width="29" style="11" customWidth="1"/>
    <col min="11" max="11" width="20.33203125" style="11" customWidth="1"/>
    <col min="12" max="12" width="25.5546875" style="11" customWidth="1"/>
    <col min="13" max="13" width="14.5546875" style="11" customWidth="1"/>
    <col min="14" max="14" width="26.44140625" style="11" customWidth="1"/>
    <col min="15" max="15" width="19.44140625" style="11" customWidth="1"/>
    <col min="16" max="17" width="11.44140625" style="11" customWidth="1"/>
    <col min="18" max="18" width="8.44140625" style="11" customWidth="1"/>
    <col min="19" max="20" width="11.44140625" style="11" customWidth="1"/>
    <col min="21" max="21" width="7.44140625" style="11" customWidth="1"/>
    <col min="22" max="26" width="11.44140625" style="11" customWidth="1"/>
    <col min="27" max="16384" width="11.44140625" style="11"/>
  </cols>
  <sheetData>
    <row r="1" spans="1:10" ht="81.75" customHeight="1" x14ac:dyDescent="0.25">
      <c r="A1" s="1887"/>
      <c r="B1" s="1887"/>
      <c r="C1" s="2480" t="s">
        <v>1758</v>
      </c>
      <c r="D1" s="2480"/>
      <c r="E1" s="2480"/>
      <c r="F1" s="1254" t="s">
        <v>1759</v>
      </c>
      <c r="I1" s="49"/>
    </row>
    <row r="2" spans="1:10" ht="32.25" customHeight="1" x14ac:dyDescent="0.25">
      <c r="A2" s="2101"/>
      <c r="B2" s="2101"/>
      <c r="C2" s="2101"/>
      <c r="D2" s="2101"/>
      <c r="E2" s="2101"/>
      <c r="F2" s="2101"/>
      <c r="J2" s="50"/>
    </row>
    <row r="3" spans="1:10" ht="10.5" customHeight="1" x14ac:dyDescent="0.25">
      <c r="E3" s="9"/>
      <c r="F3" s="51"/>
      <c r="J3" s="50"/>
    </row>
    <row r="4" spans="1:10" ht="20.100000000000001" customHeight="1" x14ac:dyDescent="0.25">
      <c r="B4" s="10" t="s">
        <v>118</v>
      </c>
      <c r="C4" s="2406" t="str">
        <f>+FENECIMIENTO!D4</f>
        <v xml:space="preserve">80000 - DIRECCIÓN SECTOR MOVILIDAD </v>
      </c>
      <c r="D4" s="2406"/>
      <c r="E4" s="2406"/>
      <c r="F4" s="2406"/>
      <c r="J4" s="50"/>
    </row>
    <row r="5" spans="1:10" ht="20.100000000000001" customHeight="1" x14ac:dyDescent="0.25">
      <c r="B5" s="11" t="s">
        <v>1</v>
      </c>
      <c r="C5" s="2407" t="str">
        <f>+FENECIMIENTO!D5</f>
        <v>204 - Instituto de Desarrollo Urbano – IDU</v>
      </c>
      <c r="D5" s="2408"/>
      <c r="E5" s="2408"/>
      <c r="F5" s="2408"/>
      <c r="J5" s="50"/>
    </row>
    <row r="6" spans="1:10" ht="20.100000000000001" customHeight="1" x14ac:dyDescent="0.25">
      <c r="B6" s="1176" t="s">
        <v>1680</v>
      </c>
      <c r="C6" s="2408">
        <f>+'ANALÍTICA PRESUPUESTAL'!B9</f>
        <v>2025</v>
      </c>
      <c r="D6" s="2408"/>
      <c r="E6" s="16" t="s">
        <v>121</v>
      </c>
      <c r="F6" s="26">
        <f>+FENECIMIENTO!K5</f>
        <v>2024</v>
      </c>
      <c r="J6" s="50"/>
    </row>
    <row r="7" spans="1:10" ht="20.100000000000001" customHeight="1" x14ac:dyDescent="0.25">
      <c r="B7" s="11" t="s">
        <v>3</v>
      </c>
      <c r="C7" s="2408">
        <f>+FENECIMIENTO!K6</f>
        <v>87</v>
      </c>
      <c r="D7" s="2408"/>
      <c r="E7" s="16"/>
      <c r="J7" s="50"/>
    </row>
    <row r="8" spans="1:10" ht="20.100000000000001" customHeight="1" x14ac:dyDescent="0.25">
      <c r="B8" s="11" t="s">
        <v>4</v>
      </c>
      <c r="C8" s="2482">
        <f>+FENECIMIENTO!D7</f>
        <v>45693</v>
      </c>
      <c r="D8" s="2483"/>
      <c r="E8" s="16" t="s">
        <v>122</v>
      </c>
      <c r="F8" s="1177">
        <f>+FENECIMIENTO!K7</f>
        <v>45693</v>
      </c>
      <c r="J8" s="50"/>
    </row>
    <row r="9" spans="1:10" ht="13.95" customHeight="1" x14ac:dyDescent="0.25">
      <c r="E9" s="51"/>
      <c r="F9" s="51"/>
      <c r="J9" s="50"/>
    </row>
    <row r="10" spans="1:10" ht="13.95" customHeight="1" x14ac:dyDescent="0.25">
      <c r="B10" s="2481" t="s">
        <v>1753</v>
      </c>
      <c r="C10" s="2481"/>
      <c r="D10" s="2481"/>
      <c r="E10" s="2481"/>
      <c r="F10" s="2481"/>
      <c r="G10" s="51"/>
      <c r="J10" s="50"/>
    </row>
    <row r="11" spans="1:10" ht="13.95" customHeight="1" x14ac:dyDescent="0.25">
      <c r="E11" s="52"/>
      <c r="F11" s="51"/>
    </row>
    <row r="12" spans="1:10" ht="13.95" customHeight="1" x14ac:dyDescent="0.25">
      <c r="B12" s="1023" t="s">
        <v>450</v>
      </c>
      <c r="C12" s="49"/>
    </row>
    <row r="13" spans="1:10" ht="13.95" customHeight="1" thickBot="1" x14ac:dyDescent="0.3">
      <c r="B13" s="53"/>
      <c r="C13" s="53"/>
      <c r="D13" s="53"/>
    </row>
    <row r="14" spans="1:10" ht="19.5" customHeight="1" thickTop="1" x14ac:dyDescent="0.25">
      <c r="A14" s="54"/>
      <c r="B14" s="2478" t="s">
        <v>451</v>
      </c>
      <c r="C14" s="2479"/>
      <c r="D14" s="28" t="s">
        <v>123</v>
      </c>
      <c r="E14" s="55"/>
    </row>
    <row r="15" spans="1:10" ht="30" customHeight="1" x14ac:dyDescent="0.25">
      <c r="A15" s="199" t="b">
        <v>0</v>
      </c>
      <c r="B15" s="2476"/>
      <c r="C15" s="2477"/>
      <c r="D15" s="1238">
        <f>IF(A15,'ANALÍTICAS GASTO PÚBLICO'!D119,0)</f>
        <v>0</v>
      </c>
      <c r="E15" s="55"/>
      <c r="F15" s="55"/>
      <c r="J15" s="49"/>
    </row>
    <row r="16" spans="1:10" ht="29.25" customHeight="1" x14ac:dyDescent="0.25">
      <c r="A16" s="200" t="b">
        <v>1</v>
      </c>
      <c r="B16" s="2472"/>
      <c r="C16" s="2473"/>
      <c r="D16" s="243">
        <f>IF(A16,'ANALÍTICAS GASTO PÚBLICO'!F21,0)</f>
        <v>924307453</v>
      </c>
      <c r="E16" s="56"/>
      <c r="F16" s="55"/>
      <c r="J16" s="49"/>
    </row>
    <row r="17" spans="1:10" ht="29.25" customHeight="1" x14ac:dyDescent="0.25">
      <c r="A17" s="200" t="b">
        <v>1</v>
      </c>
      <c r="B17" s="2472"/>
      <c r="C17" s="2473"/>
      <c r="D17" s="243">
        <f>IF(A17,'ANALÍTICAS GASTO PÚBLICO'!C106,0)</f>
        <v>258934000</v>
      </c>
      <c r="E17" s="56"/>
      <c r="F17" s="55"/>
      <c r="J17" s="49"/>
    </row>
    <row r="18" spans="1:10" ht="29.25" customHeight="1" thickBot="1" x14ac:dyDescent="0.3">
      <c r="A18" s="200" t="b">
        <v>1</v>
      </c>
      <c r="B18" s="2474"/>
      <c r="C18" s="2475"/>
      <c r="D18" s="244">
        <f>IF(A18,'ANALÍTICAS GASTO PÚBLICO'!C114,0)</f>
        <v>2674610094</v>
      </c>
      <c r="E18" s="56"/>
      <c r="F18" s="55"/>
      <c r="J18" s="49"/>
    </row>
    <row r="19" spans="1:10" ht="29.25" customHeight="1" thickTop="1" thickBot="1" x14ac:dyDescent="0.3">
      <c r="A19" s="54"/>
      <c r="B19" s="2487" t="s">
        <v>35</v>
      </c>
      <c r="C19" s="2488"/>
      <c r="D19" s="245">
        <f>SUM(D15:D18)</f>
        <v>3857851547</v>
      </c>
      <c r="E19" s="56"/>
      <c r="F19" s="55"/>
      <c r="J19" s="49"/>
    </row>
    <row r="20" spans="1:10" ht="18.75" customHeight="1" thickTop="1" x14ac:dyDescent="0.25">
      <c r="B20" s="27"/>
      <c r="C20" s="27"/>
      <c r="D20" s="27"/>
      <c r="E20" s="56"/>
      <c r="F20" s="55"/>
      <c r="J20" s="49"/>
    </row>
    <row r="21" spans="1:10" ht="16.5" customHeight="1" x14ac:dyDescent="0.25">
      <c r="B21" s="2496"/>
      <c r="C21" s="2496"/>
      <c r="D21" s="2496"/>
      <c r="E21" s="56"/>
      <c r="F21" s="55"/>
      <c r="J21" s="49"/>
    </row>
    <row r="22" spans="1:10" ht="24" customHeight="1" x14ac:dyDescent="0.25">
      <c r="C22" s="2497" t="s">
        <v>124</v>
      </c>
      <c r="D22" s="2497"/>
      <c r="E22" s="2497"/>
      <c r="F22" s="57" t="s">
        <v>125</v>
      </c>
    </row>
    <row r="23" spans="1:10" ht="78.75" customHeight="1" x14ac:dyDescent="0.25">
      <c r="B23" s="246" t="s">
        <v>440</v>
      </c>
      <c r="C23" s="17" t="s">
        <v>126</v>
      </c>
      <c r="D23" s="18" t="s">
        <v>127</v>
      </c>
      <c r="E23" s="17" t="s">
        <v>128</v>
      </c>
      <c r="F23" s="18" t="s">
        <v>129</v>
      </c>
    </row>
    <row r="24" spans="1:10" ht="50.25" customHeight="1" x14ac:dyDescent="0.25">
      <c r="B24" s="19" t="str">
        <f>IFERROR(IF(D24="No hay",VLOOKUP(SUM(C25:F25),TablaMuestra[[Mínimo SIN Concepto Vig Anterior]:[Riesgo de Control]],2,TRUE),VLOOKUP(SUM(C25:F25),TablaMuestra[],3,TRUE)),"")</f>
        <v>MEDIO</v>
      </c>
      <c r="C24" s="20" t="s">
        <v>142</v>
      </c>
      <c r="D24" s="21" t="s">
        <v>146</v>
      </c>
      <c r="E24" s="21" t="s">
        <v>132</v>
      </c>
      <c r="F24" s="21" t="s">
        <v>152</v>
      </c>
    </row>
    <row r="25" spans="1:10" ht="18.75" customHeight="1" x14ac:dyDescent="0.25">
      <c r="B25" s="22" t="str">
        <f>_xlfn.IFNA(CONCATENATE("TOTAL :  ",SUM(C25:F25)),"")</f>
        <v>TOTAL :  10</v>
      </c>
      <c r="C25" s="22">
        <f>_xlfn.IFNA(VLOOKUP(C24,Hallazgos_anterior[],2,FALSE),"")</f>
        <v>3</v>
      </c>
      <c r="D25" s="22">
        <f>_xlfn.IFNA(VLOOKUP(D24,Concepto_anterior[],2,FALSE),"")</f>
        <v>1</v>
      </c>
      <c r="E25" s="22">
        <f>_xlfn.IFNA(VLOOKUP(E24,Diseño_Control[],2,FALSE),"")</f>
        <v>2</v>
      </c>
      <c r="F25" s="22">
        <f>_xlfn.IFNA(VLOOKUP(F24,Riesgo_residual[],2,FALSE),"")</f>
        <v>4</v>
      </c>
    </row>
    <row r="26" spans="1:10" ht="13.95" customHeight="1" x14ac:dyDescent="0.25">
      <c r="B26" s="2484"/>
      <c r="C26" s="2484"/>
      <c r="D26" s="2484"/>
      <c r="E26" s="2484"/>
      <c r="F26" s="2484"/>
    </row>
    <row r="27" spans="1:10" ht="19.5" customHeight="1" x14ac:dyDescent="0.25">
      <c r="B27" s="2491"/>
      <c r="C27" s="2491"/>
      <c r="D27" s="2491"/>
      <c r="E27" s="2491"/>
      <c r="F27" s="2491"/>
    </row>
    <row r="28" spans="1:10" ht="26.25" customHeight="1" x14ac:dyDescent="0.25">
      <c r="B28" s="2489" t="s">
        <v>134</v>
      </c>
      <c r="C28" s="2492" t="s">
        <v>135</v>
      </c>
      <c r="D28" s="2493"/>
      <c r="E28" s="2489" t="s">
        <v>136</v>
      </c>
      <c r="F28" s="2489" t="s">
        <v>137</v>
      </c>
    </row>
    <row r="29" spans="1:10" ht="24" customHeight="1" x14ac:dyDescent="0.25">
      <c r="B29" s="2490"/>
      <c r="C29" s="2494"/>
      <c r="D29" s="2495"/>
      <c r="E29" s="2490"/>
      <c r="F29" s="2490"/>
    </row>
    <row r="30" spans="1:10" ht="29.25" customHeight="1" x14ac:dyDescent="0.25">
      <c r="B30" s="24">
        <f>_xlfn.IFNA(VLOOKUP(Riesgo,TablaMuestra[[Riesgo de Control]:[Parametro Minimo Concepto]],2,FALSE),"")</f>
        <v>0.25</v>
      </c>
      <c r="C30" s="2485">
        <f>_xlfn.IFNA(VLOOKUP(Riesgo,TablaMuestra[[Riesgo de Control]:[Parametro Minimo Concepto]],5,FALSE),"")</f>
        <v>0.75</v>
      </c>
      <c r="D30" s="2486"/>
      <c r="E30" s="24">
        <f>_xlfn.IFNA(VLOOKUP(Riesgo,TablaMuestra[[Riesgo de Control]:[Parametro Minimo Concepto]],3,FALSE),"")</f>
        <v>0.25</v>
      </c>
      <c r="F30" s="23">
        <f>IFERROR(D19*E30,"")</f>
        <v>964462886.75</v>
      </c>
    </row>
    <row r="31" spans="1:10" ht="13.95" customHeight="1" x14ac:dyDescent="0.25">
      <c r="B31" s="2484" t="s">
        <v>144</v>
      </c>
      <c r="C31" s="2484"/>
      <c r="D31" s="2484"/>
      <c r="E31" s="2484"/>
      <c r="F31" s="2484"/>
    </row>
    <row r="32" spans="1:10" ht="190.95" customHeight="1" x14ac:dyDescent="0.25">
      <c r="B32" s="2498"/>
      <c r="C32" s="2498"/>
      <c r="D32" s="2498"/>
      <c r="E32" s="2498"/>
      <c r="F32" s="2498"/>
    </row>
    <row r="33" spans="2:8" ht="19.95" customHeight="1" x14ac:dyDescent="0.25">
      <c r="B33" s="2498"/>
      <c r="C33" s="2498"/>
      <c r="D33" s="2498"/>
      <c r="E33" s="2498"/>
      <c r="F33" s="2498"/>
    </row>
    <row r="34" spans="2:8" ht="46.95" customHeight="1" x14ac:dyDescent="0.25">
      <c r="B34" s="2498"/>
      <c r="C34" s="2498"/>
      <c r="D34" s="2498"/>
      <c r="E34" s="2498"/>
      <c r="F34" s="2498"/>
      <c r="G34" s="62"/>
      <c r="H34" s="62"/>
    </row>
    <row r="35" spans="2:8" ht="21" customHeight="1" x14ac:dyDescent="0.3">
      <c r="B35" s="25"/>
      <c r="C35" s="25"/>
      <c r="D35" s="1226"/>
      <c r="E35" s="25"/>
      <c r="F35" s="25"/>
    </row>
    <row r="36" spans="2:8" ht="16.5" customHeight="1" x14ac:dyDescent="0.3">
      <c r="B36" s="32"/>
      <c r="C36" s="32"/>
      <c r="D36" s="1227"/>
      <c r="E36" s="16"/>
      <c r="F36" s="68"/>
    </row>
    <row r="37" spans="2:8" ht="13.95" customHeight="1" x14ac:dyDescent="0.3">
      <c r="B37" s="69"/>
      <c r="C37" s="69"/>
      <c r="D37" s="69"/>
      <c r="E37" s="70"/>
      <c r="F37" s="68"/>
    </row>
    <row r="38" spans="2:8" ht="21.75" customHeight="1" x14ac:dyDescent="0.3">
      <c r="B38" s="69"/>
      <c r="C38" s="69"/>
      <c r="D38" s="71"/>
      <c r="E38" s="70"/>
      <c r="F38" s="68"/>
    </row>
    <row r="39" spans="2:8" ht="13.95" customHeight="1" x14ac:dyDescent="0.25">
      <c r="B39" s="69"/>
      <c r="D39" s="69"/>
      <c r="E39" s="69"/>
      <c r="F39" s="69"/>
    </row>
    <row r="40" spans="2:8" ht="13.95" customHeight="1" x14ac:dyDescent="0.25">
      <c r="B40" s="69"/>
      <c r="C40" s="76"/>
      <c r="D40" s="77"/>
      <c r="E40" s="77"/>
      <c r="F40" s="77"/>
    </row>
    <row r="41" spans="2:8" ht="13.95" customHeight="1" x14ac:dyDescent="0.25">
      <c r="B41" s="69"/>
      <c r="C41" s="78"/>
      <c r="D41" s="79"/>
      <c r="E41" s="79"/>
      <c r="F41" s="79"/>
    </row>
    <row r="42" spans="2:8" ht="13.95" customHeight="1" x14ac:dyDescent="0.25">
      <c r="B42" s="69"/>
      <c r="C42" s="82"/>
      <c r="D42" s="83"/>
      <c r="E42" s="83"/>
      <c r="F42" s="83"/>
    </row>
    <row r="43" spans="2:8" ht="13.95" customHeight="1" x14ac:dyDescent="0.3">
      <c r="C43" s="82"/>
      <c r="D43" s="85"/>
      <c r="E43" s="85"/>
      <c r="F43" s="85"/>
      <c r="G43" s="86"/>
      <c r="H43" s="86"/>
    </row>
    <row r="44" spans="2:8" ht="13.95" customHeight="1" x14ac:dyDescent="0.3">
      <c r="B44" s="89"/>
      <c r="C44" s="89"/>
      <c r="D44" s="89"/>
      <c r="E44" s="89"/>
      <c r="F44" s="89"/>
      <c r="G44" s="86"/>
      <c r="H44" s="86"/>
    </row>
    <row r="45" spans="2:8" ht="26.4" customHeight="1" x14ac:dyDescent="0.3">
      <c r="G45" s="86"/>
      <c r="H45" s="86"/>
    </row>
    <row r="46" spans="2:8" ht="13.95" customHeight="1" x14ac:dyDescent="0.3">
      <c r="G46" s="86"/>
      <c r="H46" s="86"/>
    </row>
    <row r="47" spans="2:8" ht="13.95" customHeight="1" x14ac:dyDescent="0.25">
      <c r="B47" s="55"/>
      <c r="C47" s="55"/>
      <c r="D47" s="92"/>
      <c r="F47" s="49"/>
    </row>
    <row r="48" spans="2:8" ht="13.95" customHeight="1" x14ac:dyDescent="0.3">
      <c r="B48" s="12"/>
      <c r="C48" s="12"/>
      <c r="D48" s="13"/>
      <c r="E48" s="14"/>
      <c r="F48" s="14"/>
    </row>
    <row r="49" spans="2:24" ht="20.25" customHeight="1" x14ac:dyDescent="0.25"/>
    <row r="50" spans="2:24" ht="13.95" customHeight="1" x14ac:dyDescent="0.25">
      <c r="B50" s="2504"/>
      <c r="C50" s="2504"/>
      <c r="D50" s="2504"/>
      <c r="E50" s="2504"/>
      <c r="F50" s="2504"/>
    </row>
    <row r="51" spans="2:24" ht="13.95" customHeight="1" x14ac:dyDescent="0.25">
      <c r="B51" s="2503"/>
      <c r="C51" s="2503"/>
      <c r="D51" s="2503"/>
      <c r="E51" s="2503"/>
      <c r="F51" s="2503"/>
    </row>
    <row r="53" spans="2:24" ht="13.95" customHeight="1" x14ac:dyDescent="0.25">
      <c r="B53" s="55"/>
      <c r="C53" s="55"/>
    </row>
    <row r="54" spans="2:24" ht="13.95" hidden="1" customHeight="1" x14ac:dyDescent="0.25">
      <c r="B54" s="97"/>
      <c r="C54" s="98"/>
    </row>
    <row r="55" spans="2:24" ht="13.95" hidden="1" customHeight="1" x14ac:dyDescent="0.25"/>
    <row r="56" spans="2:24" ht="13.95" hidden="1" customHeight="1" x14ac:dyDescent="0.25">
      <c r="B56" s="2505"/>
      <c r="C56" s="2505"/>
      <c r="D56" s="2505"/>
      <c r="E56" s="2505"/>
      <c r="F56" s="2505"/>
    </row>
    <row r="57" spans="2:24" ht="13.95" hidden="1" customHeight="1" x14ac:dyDescent="0.25">
      <c r="B57" s="2505"/>
      <c r="C57" s="2505"/>
      <c r="D57" s="2505"/>
      <c r="E57" s="2505"/>
      <c r="F57" s="2505"/>
      <c r="I57" s="11" t="s">
        <v>138</v>
      </c>
      <c r="J57" s="11" t="s">
        <v>139</v>
      </c>
      <c r="L57" s="11" t="s">
        <v>140</v>
      </c>
      <c r="M57" s="11" t="s">
        <v>139</v>
      </c>
      <c r="R57" s="11" t="s">
        <v>141</v>
      </c>
    </row>
    <row r="58" spans="2:24" ht="13.95" hidden="1" customHeight="1" x14ac:dyDescent="0.25">
      <c r="B58" s="2506"/>
      <c r="C58" s="2506"/>
      <c r="D58" s="2506"/>
      <c r="E58" s="2506"/>
      <c r="F58" s="2506"/>
      <c r="I58" s="11" t="s">
        <v>130</v>
      </c>
      <c r="J58" s="11">
        <v>4</v>
      </c>
      <c r="L58" s="11" t="s">
        <v>131</v>
      </c>
      <c r="M58" s="11">
        <v>4</v>
      </c>
      <c r="Q58" s="58"/>
      <c r="R58" s="59"/>
      <c r="S58" s="60">
        <v>100</v>
      </c>
      <c r="T58" s="58"/>
      <c r="U58" s="58"/>
    </row>
    <row r="59" spans="2:24" ht="13.95" hidden="1" customHeight="1" x14ac:dyDescent="0.25">
      <c r="I59" s="10" t="s">
        <v>142</v>
      </c>
      <c r="J59" s="11">
        <v>3</v>
      </c>
      <c r="L59" s="10" t="s">
        <v>143</v>
      </c>
      <c r="M59" s="11">
        <v>2.5</v>
      </c>
      <c r="Q59" s="58"/>
      <c r="R59" s="59"/>
      <c r="S59" s="58"/>
      <c r="T59" s="58"/>
      <c r="U59" s="58"/>
    </row>
    <row r="60" spans="2:24" ht="13.95" hidden="1" customHeight="1" x14ac:dyDescent="0.25">
      <c r="B60" s="2504"/>
      <c r="C60" s="2504"/>
      <c r="D60" s="2504"/>
      <c r="E60" s="2504"/>
      <c r="F60" s="2504"/>
      <c r="I60" s="11" t="s">
        <v>145</v>
      </c>
      <c r="J60" s="11">
        <v>2</v>
      </c>
      <c r="L60" s="11" t="s">
        <v>146</v>
      </c>
      <c r="M60" s="11">
        <v>1</v>
      </c>
      <c r="Q60" s="58"/>
      <c r="R60" s="59"/>
      <c r="S60" s="58"/>
      <c r="T60" s="58"/>
      <c r="U60" s="58"/>
    </row>
    <row r="61" spans="2:24" ht="13.95" hidden="1" customHeight="1" x14ac:dyDescent="0.25">
      <c r="B61" s="2503"/>
      <c r="C61" s="2503"/>
      <c r="D61" s="2503"/>
      <c r="E61" s="2503"/>
      <c r="F61" s="2503"/>
      <c r="I61" s="11" t="s">
        <v>147</v>
      </c>
      <c r="J61" s="11">
        <v>1</v>
      </c>
      <c r="L61" s="11" t="s">
        <v>148</v>
      </c>
      <c r="M61" s="61">
        <v>0</v>
      </c>
      <c r="Q61" s="58"/>
      <c r="R61" s="59"/>
      <c r="S61" s="58"/>
      <c r="T61" s="58"/>
      <c r="U61" s="58"/>
    </row>
    <row r="62" spans="2:24" ht="13.95" hidden="1" customHeight="1" x14ac:dyDescent="0.25">
      <c r="I62" s="11" t="s">
        <v>148</v>
      </c>
      <c r="J62" s="11">
        <v>0</v>
      </c>
      <c r="M62" s="61" t="s">
        <v>144</v>
      </c>
      <c r="Q62" s="58"/>
      <c r="R62" s="59"/>
      <c r="S62" s="58"/>
      <c r="T62" s="58"/>
      <c r="U62" s="58"/>
    </row>
    <row r="63" spans="2:24" ht="13.95" hidden="1" customHeight="1" x14ac:dyDescent="0.25">
      <c r="B63" s="99"/>
      <c r="C63" s="100"/>
      <c r="Q63" s="63"/>
      <c r="R63" s="64"/>
      <c r="S63" s="65"/>
      <c r="T63" s="65"/>
      <c r="U63" s="58"/>
    </row>
    <row r="64" spans="2:24" s="15" customFormat="1" ht="20.25" hidden="1" customHeight="1" x14ac:dyDescent="0.3">
      <c r="B64" s="101"/>
      <c r="C64" s="98"/>
      <c r="D64" s="11"/>
      <c r="E64" s="11"/>
      <c r="F64" s="11"/>
      <c r="I64" s="11"/>
      <c r="J64" s="11"/>
      <c r="K64" s="11"/>
      <c r="L64" s="11"/>
      <c r="M64" s="11"/>
      <c r="N64" s="11"/>
      <c r="O64" s="11"/>
      <c r="P64" s="11"/>
      <c r="Q64" s="63"/>
      <c r="R64" s="66"/>
      <c r="S64" s="67"/>
      <c r="T64" s="67"/>
      <c r="U64" s="58"/>
      <c r="V64" s="11"/>
      <c r="W64" s="11"/>
      <c r="X64" s="11"/>
    </row>
    <row r="65" spans="9:23" ht="13.95" hidden="1" customHeight="1" x14ac:dyDescent="0.25">
      <c r="I65" s="11" t="s">
        <v>150</v>
      </c>
      <c r="J65" s="11" t="s">
        <v>139</v>
      </c>
      <c r="L65" s="11" t="s">
        <v>151</v>
      </c>
      <c r="M65" s="11" t="s">
        <v>139</v>
      </c>
      <c r="Q65" s="63"/>
      <c r="R65" s="66"/>
      <c r="S65" s="67"/>
      <c r="T65" s="67"/>
      <c r="U65" s="58"/>
    </row>
    <row r="66" spans="9:23" ht="13.95" hidden="1" customHeight="1" x14ac:dyDescent="0.25">
      <c r="I66" s="11" t="s">
        <v>152</v>
      </c>
      <c r="J66" s="11">
        <v>4</v>
      </c>
      <c r="L66" s="11" t="s">
        <v>153</v>
      </c>
      <c r="M66" s="11">
        <v>4</v>
      </c>
      <c r="Q66" s="58"/>
      <c r="R66" s="59"/>
      <c r="S66" s="58"/>
      <c r="T66" s="58"/>
      <c r="U66" s="58"/>
    </row>
    <row r="67" spans="9:23" ht="13.95" hidden="1" customHeight="1" x14ac:dyDescent="0.25">
      <c r="I67" s="10" t="s">
        <v>154</v>
      </c>
      <c r="J67" s="11">
        <v>3</v>
      </c>
      <c r="L67" s="10" t="s">
        <v>155</v>
      </c>
      <c r="M67" s="11">
        <v>3</v>
      </c>
      <c r="Q67" s="72"/>
      <c r="R67" s="66"/>
      <c r="S67" s="67"/>
      <c r="T67" s="67"/>
      <c r="U67" s="58"/>
    </row>
    <row r="68" spans="9:23" ht="13.95" hidden="1" customHeight="1" x14ac:dyDescent="0.25">
      <c r="I68" s="11" t="s">
        <v>133</v>
      </c>
      <c r="J68" s="11">
        <v>2</v>
      </c>
      <c r="L68" s="11" t="s">
        <v>132</v>
      </c>
      <c r="M68" s="11">
        <v>2</v>
      </c>
      <c r="Q68" s="73"/>
      <c r="R68" s="74"/>
      <c r="S68" s="75"/>
      <c r="T68" s="75"/>
      <c r="U68" s="58"/>
    </row>
    <row r="69" spans="9:23" ht="13.95" hidden="1" customHeight="1" x14ac:dyDescent="0.25">
      <c r="I69" s="10" t="s">
        <v>156</v>
      </c>
      <c r="J69" s="11">
        <v>1</v>
      </c>
      <c r="L69" s="10" t="s">
        <v>157</v>
      </c>
      <c r="M69" s="11">
        <v>1</v>
      </c>
      <c r="Q69" s="65"/>
      <c r="R69" s="66"/>
      <c r="S69" s="67"/>
      <c r="T69" s="67"/>
      <c r="U69" s="58" t="s">
        <v>158</v>
      </c>
    </row>
    <row r="70" spans="9:23" ht="13.95" hidden="1" customHeight="1" thickBot="1" x14ac:dyDescent="0.3">
      <c r="L70" s="11" t="s">
        <v>1699</v>
      </c>
      <c r="M70" s="11">
        <v>0</v>
      </c>
      <c r="Q70" s="58"/>
      <c r="R70" s="66"/>
      <c r="S70" s="80"/>
      <c r="T70" s="81"/>
      <c r="U70" s="65">
        <v>0.3</v>
      </c>
      <c r="V70" s="58"/>
    </row>
    <row r="71" spans="9:23" ht="13.95" hidden="1" customHeight="1" x14ac:dyDescent="0.25">
      <c r="I71" s="11" t="s">
        <v>159</v>
      </c>
      <c r="J71" s="11" t="s">
        <v>160</v>
      </c>
      <c r="K71" s="11" t="s">
        <v>161</v>
      </c>
      <c r="L71" s="62" t="s">
        <v>162</v>
      </c>
      <c r="M71" s="11" t="s">
        <v>158</v>
      </c>
      <c r="N71" s="11" t="s">
        <v>163</v>
      </c>
      <c r="O71" s="11" t="s">
        <v>164</v>
      </c>
      <c r="Q71" s="58"/>
      <c r="R71" s="59"/>
      <c r="S71" s="58"/>
      <c r="U71" s="84"/>
      <c r="V71" s="60">
        <v>30</v>
      </c>
      <c r="W71" s="2499">
        <v>0.75</v>
      </c>
    </row>
    <row r="72" spans="9:23" ht="13.95" hidden="1" customHeight="1" x14ac:dyDescent="0.25">
      <c r="I72" s="11">
        <v>4</v>
      </c>
      <c r="J72" s="11">
        <v>1</v>
      </c>
      <c r="K72" s="87" t="s">
        <v>165</v>
      </c>
      <c r="L72" s="88">
        <v>0.3</v>
      </c>
      <c r="M72" s="87">
        <v>0.2</v>
      </c>
      <c r="N72" s="87"/>
      <c r="O72" s="87">
        <v>0.7</v>
      </c>
      <c r="Q72" s="67"/>
      <c r="R72" s="59"/>
      <c r="S72" s="58"/>
      <c r="U72" s="84"/>
      <c r="V72" s="65"/>
      <c r="W72" s="2500"/>
    </row>
    <row r="73" spans="9:23" ht="13.95" hidden="1" customHeight="1" x14ac:dyDescent="0.25">
      <c r="I73" s="11">
        <v>8</v>
      </c>
      <c r="J73" s="11">
        <v>7</v>
      </c>
      <c r="K73" s="87" t="s">
        <v>166</v>
      </c>
      <c r="L73" s="90">
        <v>0.25</v>
      </c>
      <c r="M73" s="87">
        <v>0.25</v>
      </c>
      <c r="N73" s="87"/>
      <c r="O73" s="87">
        <v>0.75</v>
      </c>
      <c r="Q73" s="91"/>
      <c r="R73" s="59"/>
      <c r="S73" s="58"/>
      <c r="U73" s="84"/>
      <c r="V73" s="65"/>
      <c r="W73" s="2500"/>
    </row>
    <row r="74" spans="9:23" ht="13.95" hidden="1" customHeight="1" x14ac:dyDescent="0.25">
      <c r="I74" s="11">
        <v>12</v>
      </c>
      <c r="J74" s="11">
        <v>10</v>
      </c>
      <c r="K74" s="87" t="s">
        <v>167</v>
      </c>
      <c r="L74" s="88">
        <v>0.2</v>
      </c>
      <c r="M74" s="87">
        <v>0.3</v>
      </c>
      <c r="N74" s="87"/>
      <c r="O74" s="87">
        <v>0.8</v>
      </c>
      <c r="Q74" s="67"/>
      <c r="R74" s="59"/>
      <c r="S74" s="58"/>
      <c r="U74" s="84"/>
      <c r="V74" s="65"/>
      <c r="W74" s="2500"/>
    </row>
    <row r="75" spans="9:23" ht="13.95" hidden="1" customHeight="1" thickBot="1" x14ac:dyDescent="0.3">
      <c r="Q75" s="58"/>
      <c r="R75" s="59"/>
      <c r="S75" s="58"/>
      <c r="T75" s="81"/>
      <c r="U75" s="84"/>
      <c r="V75" s="65"/>
      <c r="W75" s="2501"/>
    </row>
    <row r="76" spans="9:23" ht="13.95" hidden="1" customHeight="1" thickBot="1" x14ac:dyDescent="0.3">
      <c r="Q76" s="93">
        <v>7.4999999999999997E-2</v>
      </c>
      <c r="R76" s="94"/>
      <c r="S76" s="2502">
        <v>7.5</v>
      </c>
      <c r="T76" s="2502"/>
      <c r="U76" s="94"/>
      <c r="V76" s="95">
        <v>7.5</v>
      </c>
      <c r="W76" s="96">
        <v>0.25</v>
      </c>
    </row>
    <row r="77" spans="9:23" ht="13.95" hidden="1" customHeight="1" x14ac:dyDescent="0.25"/>
    <row r="78" spans="9:23" ht="13.95" hidden="1" customHeight="1" x14ac:dyDescent="0.25"/>
    <row r="79" spans="9:23" ht="13.95" hidden="1" customHeight="1" x14ac:dyDescent="0.25"/>
    <row r="80" spans="9:23" ht="13.95" hidden="1" customHeight="1" x14ac:dyDescent="0.25"/>
    <row r="81" ht="13.95" hidden="1" customHeight="1" x14ac:dyDescent="0.25"/>
    <row r="82" ht="13.95" hidden="1" customHeight="1" x14ac:dyDescent="0.25"/>
    <row r="83" ht="13.95" hidden="1" customHeight="1" x14ac:dyDescent="0.25"/>
    <row r="84" ht="13.95" hidden="1" customHeight="1" x14ac:dyDescent="0.25"/>
    <row r="85" ht="13.95" hidden="1" customHeight="1" x14ac:dyDescent="0.25"/>
    <row r="86" ht="13.95" hidden="1" customHeight="1" x14ac:dyDescent="0.25"/>
  </sheetData>
  <sheetProtection algorithmName="SHA-512" hashValue="ICtS4fxSvfo0AYyCk6q6zwTHG4Qtr4BJplV8P/XwZpraiMKvXvrq586dyTqKUV0FZj8ABAK+JF2nYfMP/N0rTg==" saltValue="IHuYed0hYFJT0hBso87A0A==" spinCount="100000" sheet="1" objects="1" scenarios="1" formatColumns="0"/>
  <dataConsolidate/>
  <mergeCells count="35">
    <mergeCell ref="B32:F32"/>
    <mergeCell ref="W71:W75"/>
    <mergeCell ref="S76:T76"/>
    <mergeCell ref="B61:F61"/>
    <mergeCell ref="B60:F60"/>
    <mergeCell ref="B50:F50"/>
    <mergeCell ref="B51:F51"/>
    <mergeCell ref="B56:F57"/>
    <mergeCell ref="B58:F58"/>
    <mergeCell ref="B33:F33"/>
    <mergeCell ref="B34:F34"/>
    <mergeCell ref="B31:F31"/>
    <mergeCell ref="C30:D30"/>
    <mergeCell ref="B19:C19"/>
    <mergeCell ref="B28:B29"/>
    <mergeCell ref="F28:F29"/>
    <mergeCell ref="E28:E29"/>
    <mergeCell ref="B26:F27"/>
    <mergeCell ref="C28:D29"/>
    <mergeCell ref="B21:D21"/>
    <mergeCell ref="C22:E22"/>
    <mergeCell ref="A1:B1"/>
    <mergeCell ref="C1:E1"/>
    <mergeCell ref="A2:F2"/>
    <mergeCell ref="B10:F10"/>
    <mergeCell ref="C4:F4"/>
    <mergeCell ref="C6:D6"/>
    <mergeCell ref="C7:D7"/>
    <mergeCell ref="C8:D8"/>
    <mergeCell ref="B17:C17"/>
    <mergeCell ref="B18:C18"/>
    <mergeCell ref="B15:C15"/>
    <mergeCell ref="B16:C16"/>
    <mergeCell ref="C5:F5"/>
    <mergeCell ref="B14:C14"/>
  </mergeCells>
  <conditionalFormatting sqref="B24">
    <cfRule type="cellIs" dxfId="27" priority="1" operator="equal">
      <formula>"BAJO"</formula>
    </cfRule>
    <cfRule type="cellIs" dxfId="26" priority="2" operator="equal">
      <formula>"MEDIO"</formula>
    </cfRule>
    <cfRule type="cellIs" dxfId="25" priority="3" operator="equal">
      <formula>"ALTO"</formula>
    </cfRule>
  </conditionalFormatting>
  <dataValidations count="6">
    <dataValidation type="list" showInputMessage="1" showErrorMessage="1" sqref="B54">
      <formula1>#REF!</formula1>
    </dataValidation>
    <dataValidation type="list" allowBlank="1" showInputMessage="1" showErrorMessage="1" sqref="E24">
      <formula1>$L$66:$L$70</formula1>
    </dataValidation>
    <dataValidation type="list" allowBlank="1" showInputMessage="1" showErrorMessage="1" sqref="D24">
      <formula1>$L$58:$L$61</formula1>
    </dataValidation>
    <dataValidation type="list" allowBlank="1" showInputMessage="1" showErrorMessage="1" sqref="F24">
      <formula1>$I$66:$I$69</formula1>
    </dataValidation>
    <dataValidation type="list" allowBlank="1" showInputMessage="1" showErrorMessage="1" sqref="C24">
      <formula1>$I$58:$I$62</formula1>
    </dataValidation>
    <dataValidation operator="greaterThan" allowBlank="1" showInputMessage="1" showErrorMessage="1" sqref="B15:B21"/>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71" r:id="rId4" name="Check Box 23">
              <controlPr locked="0" defaultSize="0" autoFill="0" autoLine="0" autoPict="0">
                <anchor moveWithCells="1">
                  <from>
                    <xdr:col>1</xdr:col>
                    <xdr:colOff>381000</xdr:colOff>
                    <xdr:row>14</xdr:row>
                    <xdr:rowOff>22860</xdr:rowOff>
                  </from>
                  <to>
                    <xdr:col>2</xdr:col>
                    <xdr:colOff>2057400</xdr:colOff>
                    <xdr:row>14</xdr:row>
                    <xdr:rowOff>373380</xdr:rowOff>
                  </to>
                </anchor>
              </controlPr>
            </control>
          </mc:Choice>
        </mc:AlternateContent>
        <mc:AlternateContent xmlns:mc="http://schemas.openxmlformats.org/markup-compatibility/2006">
          <mc:Choice Requires="x14">
            <control shapeId="2072" r:id="rId5" name="Check Box 24">
              <controlPr locked="0" defaultSize="0" autoFill="0" autoLine="0" autoPict="0">
                <anchor moveWithCells="1">
                  <from>
                    <xdr:col>1</xdr:col>
                    <xdr:colOff>381000</xdr:colOff>
                    <xdr:row>15</xdr:row>
                    <xdr:rowOff>22860</xdr:rowOff>
                  </from>
                  <to>
                    <xdr:col>2</xdr:col>
                    <xdr:colOff>1821180</xdr:colOff>
                    <xdr:row>16</xdr:row>
                    <xdr:rowOff>0</xdr:rowOff>
                  </to>
                </anchor>
              </controlPr>
            </control>
          </mc:Choice>
        </mc:AlternateContent>
        <mc:AlternateContent xmlns:mc="http://schemas.openxmlformats.org/markup-compatibility/2006">
          <mc:Choice Requires="x14">
            <control shapeId="2073" r:id="rId6" name="Check Box 25">
              <controlPr locked="0" defaultSize="0" autoFill="0" autoLine="0" autoPict="0">
                <anchor moveWithCells="1">
                  <from>
                    <xdr:col>1</xdr:col>
                    <xdr:colOff>381000</xdr:colOff>
                    <xdr:row>16</xdr:row>
                    <xdr:rowOff>22860</xdr:rowOff>
                  </from>
                  <to>
                    <xdr:col>2</xdr:col>
                    <xdr:colOff>1821180</xdr:colOff>
                    <xdr:row>17</xdr:row>
                    <xdr:rowOff>0</xdr:rowOff>
                  </to>
                </anchor>
              </controlPr>
            </control>
          </mc:Choice>
        </mc:AlternateContent>
        <mc:AlternateContent xmlns:mc="http://schemas.openxmlformats.org/markup-compatibility/2006">
          <mc:Choice Requires="x14">
            <control shapeId="2074" r:id="rId7" name="Check Box 26">
              <controlPr locked="0" defaultSize="0" autoFill="0" autoLine="0" autoPict="0">
                <anchor moveWithCells="1">
                  <from>
                    <xdr:col>1</xdr:col>
                    <xdr:colOff>381000</xdr:colOff>
                    <xdr:row>17</xdr:row>
                    <xdr:rowOff>22860</xdr:rowOff>
                  </from>
                  <to>
                    <xdr:col>2</xdr:col>
                    <xdr:colOff>1821180</xdr:colOff>
                    <xdr:row>18</xdr:row>
                    <xdr:rowOff>0</xdr:rowOff>
                  </to>
                </anchor>
              </controlPr>
            </control>
          </mc:Choice>
        </mc:AlternateContent>
      </controls>
    </mc:Choice>
  </mc:AlternateContent>
  <tableParts count="5">
    <tablePart r:id="rId8"/>
    <tablePart r:id="rId9"/>
    <tablePart r:id="rId10"/>
    <tablePart r:id="rId11"/>
    <tablePart r:id="rId12"/>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A65524"/>
  <sheetViews>
    <sheetView zoomScaleNormal="100" workbookViewId="0">
      <selection activeCell="B10" sqref="B10:C10"/>
    </sheetView>
  </sheetViews>
  <sheetFormatPr baseColWidth="10" defaultColWidth="11.44140625" defaultRowHeight="13.8" x14ac:dyDescent="0.3"/>
  <cols>
    <col min="1" max="1" width="34.44140625" style="104" customWidth="1"/>
    <col min="2" max="2" width="47.5546875" style="104" customWidth="1"/>
    <col min="3" max="3" width="22.44140625" style="190" bestFit="1" customWidth="1"/>
    <col min="4" max="4" width="52.44140625" style="104" customWidth="1"/>
    <col min="5" max="18" width="30.6640625" style="58" customWidth="1"/>
    <col min="19" max="57" width="30.6640625" style="103" customWidth="1"/>
    <col min="58" max="102" width="30.6640625" style="104" customWidth="1"/>
    <col min="103" max="103" width="34.44140625" style="104" customWidth="1"/>
    <col min="104" max="104" width="19.44140625" style="104" customWidth="1"/>
    <col min="105" max="16384" width="11.44140625" style="104"/>
  </cols>
  <sheetData>
    <row r="1" spans="1:103" ht="85.5" customHeight="1" x14ac:dyDescent="0.25">
      <c r="A1" s="102"/>
      <c r="B1" s="2480" t="s">
        <v>1760</v>
      </c>
      <c r="C1" s="2480"/>
      <c r="D1" s="2480"/>
      <c r="E1" s="2480"/>
      <c r="F1" s="2480"/>
      <c r="G1" s="2480"/>
      <c r="H1" s="2480"/>
      <c r="I1" s="2480"/>
      <c r="J1" s="2480"/>
      <c r="K1" s="2480"/>
      <c r="L1" s="2480"/>
      <c r="M1" s="2480"/>
      <c r="N1" s="2480"/>
      <c r="O1" s="2480"/>
      <c r="P1" s="2480"/>
      <c r="Q1" s="2480"/>
      <c r="R1" s="2480"/>
      <c r="S1" s="2480"/>
      <c r="T1" s="2480"/>
      <c r="U1" s="2480"/>
      <c r="V1" s="2480"/>
      <c r="W1" s="2480"/>
      <c r="X1" s="2480"/>
      <c r="Y1" s="2480"/>
      <c r="Z1" s="2480"/>
      <c r="AA1" s="2480"/>
      <c r="AB1" s="2480"/>
      <c r="AC1" s="2480"/>
      <c r="AD1" s="2480"/>
      <c r="AE1" s="2480"/>
      <c r="AF1" s="2480"/>
      <c r="AG1" s="2480"/>
      <c r="AH1" s="2480"/>
      <c r="AI1" s="2480"/>
      <c r="AJ1" s="2480"/>
      <c r="AK1" s="2480"/>
      <c r="AL1" s="2480"/>
      <c r="AM1" s="2480"/>
      <c r="AN1" s="2480"/>
      <c r="AO1" s="2480"/>
      <c r="AP1" s="2480"/>
      <c r="AQ1" s="2480"/>
      <c r="AR1" s="2480"/>
      <c r="AS1" s="2480"/>
      <c r="AT1" s="2480"/>
      <c r="AU1" s="2480"/>
      <c r="AV1" s="2480"/>
      <c r="AW1" s="2480"/>
      <c r="AX1" s="2480"/>
      <c r="AY1" s="2480"/>
      <c r="AZ1" s="2480"/>
      <c r="BA1" s="2480"/>
      <c r="BB1" s="2480"/>
      <c r="BC1" s="2480"/>
      <c r="BD1" s="2480"/>
      <c r="BE1" s="2480"/>
      <c r="BF1" s="2480"/>
      <c r="BG1" s="2480"/>
      <c r="BH1" s="2480"/>
      <c r="BI1" s="2480"/>
      <c r="BJ1" s="2480"/>
      <c r="BK1" s="2480"/>
      <c r="BL1" s="2480"/>
      <c r="BM1" s="2480"/>
      <c r="BN1" s="2480"/>
      <c r="BO1" s="2480"/>
      <c r="BP1" s="2480"/>
      <c r="BQ1" s="2480"/>
      <c r="BR1" s="2480"/>
      <c r="BS1" s="2480"/>
      <c r="BT1" s="2480"/>
      <c r="BU1" s="2480"/>
      <c r="BV1" s="2480"/>
      <c r="BW1" s="2480"/>
      <c r="BX1" s="2480"/>
      <c r="BY1" s="2480"/>
      <c r="BZ1" s="2480"/>
      <c r="CA1" s="2480"/>
      <c r="CB1" s="2480"/>
      <c r="CC1" s="2480"/>
      <c r="CD1" s="2480"/>
      <c r="CE1" s="2480"/>
      <c r="CF1" s="2480"/>
      <c r="CG1" s="2480"/>
      <c r="CH1" s="2480"/>
      <c r="CI1" s="2480"/>
      <c r="CJ1" s="2480"/>
      <c r="CK1" s="2480"/>
      <c r="CL1" s="2480"/>
      <c r="CM1" s="2480"/>
      <c r="CN1" s="2480"/>
      <c r="CO1" s="2480"/>
      <c r="CP1" s="2480"/>
      <c r="CQ1" s="2480"/>
      <c r="CR1" s="2480"/>
      <c r="CS1" s="2480"/>
      <c r="CT1" s="2480"/>
      <c r="CU1" s="2480"/>
      <c r="CV1" s="2480"/>
      <c r="CW1" s="2480"/>
      <c r="CX1" s="2480"/>
      <c r="CY1" s="1254" t="s">
        <v>1761</v>
      </c>
    </row>
    <row r="2" spans="1:103" ht="22.5" customHeight="1" thickBot="1" x14ac:dyDescent="0.35">
      <c r="A2" s="2547"/>
      <c r="B2" s="2548"/>
      <c r="C2" s="2548"/>
      <c r="D2" s="2549"/>
      <c r="E2" s="194"/>
      <c r="F2" s="105"/>
      <c r="G2" s="106"/>
      <c r="H2" s="105"/>
      <c r="I2" s="105"/>
    </row>
    <row r="3" spans="1:103" s="1" customFormat="1" ht="30" customHeight="1" thickBot="1" x14ac:dyDescent="0.35">
      <c r="A3" s="1232" t="s">
        <v>168</v>
      </c>
      <c r="B3" s="2550" t="str">
        <f>+FENECIMIENTO!D5</f>
        <v>204 - Instituto de Desarrollo Urbano – IDU</v>
      </c>
      <c r="C3" s="2551"/>
      <c r="D3" s="1233" t="s">
        <v>169</v>
      </c>
      <c r="E3" s="197">
        <v>1</v>
      </c>
      <c r="F3" s="198">
        <v>2</v>
      </c>
      <c r="G3" s="197">
        <v>3</v>
      </c>
      <c r="H3" s="198">
        <v>4</v>
      </c>
      <c r="I3" s="197">
        <v>5</v>
      </c>
      <c r="J3" s="198">
        <v>6</v>
      </c>
      <c r="K3" s="197">
        <v>7</v>
      </c>
      <c r="L3" s="198">
        <v>8</v>
      </c>
      <c r="M3" s="197">
        <v>9</v>
      </c>
      <c r="N3" s="198">
        <v>10</v>
      </c>
      <c r="O3" s="197">
        <v>11</v>
      </c>
      <c r="P3" s="198">
        <v>12</v>
      </c>
      <c r="Q3" s="197">
        <v>13</v>
      </c>
      <c r="R3" s="198">
        <v>14</v>
      </c>
      <c r="S3" s="197">
        <v>15</v>
      </c>
      <c r="T3" s="198">
        <v>16</v>
      </c>
      <c r="U3" s="197">
        <v>17</v>
      </c>
      <c r="V3" s="198">
        <v>18</v>
      </c>
      <c r="W3" s="197">
        <v>19</v>
      </c>
      <c r="X3" s="198">
        <v>20</v>
      </c>
      <c r="Y3" s="197">
        <v>21</v>
      </c>
      <c r="Z3" s="198">
        <v>22</v>
      </c>
      <c r="AA3" s="197">
        <v>23</v>
      </c>
      <c r="AB3" s="198">
        <v>24</v>
      </c>
      <c r="AC3" s="197">
        <v>25</v>
      </c>
      <c r="AD3" s="198">
        <v>26</v>
      </c>
      <c r="AE3" s="197">
        <v>27</v>
      </c>
      <c r="AF3" s="198">
        <v>28</v>
      </c>
      <c r="AG3" s="197">
        <v>29</v>
      </c>
      <c r="AH3" s="198">
        <v>30</v>
      </c>
      <c r="AI3" s="197">
        <v>31</v>
      </c>
      <c r="AJ3" s="198">
        <v>32</v>
      </c>
      <c r="AK3" s="197">
        <v>33</v>
      </c>
      <c r="AL3" s="198">
        <v>34</v>
      </c>
      <c r="AM3" s="197">
        <v>35</v>
      </c>
      <c r="AN3" s="198">
        <v>36</v>
      </c>
      <c r="AO3" s="197">
        <v>37</v>
      </c>
      <c r="AP3" s="198">
        <v>38</v>
      </c>
      <c r="AQ3" s="197">
        <v>39</v>
      </c>
      <c r="AR3" s="198">
        <v>40</v>
      </c>
      <c r="AS3" s="197">
        <v>41</v>
      </c>
      <c r="AT3" s="198">
        <v>42</v>
      </c>
      <c r="AU3" s="197">
        <v>43</v>
      </c>
      <c r="AV3" s="198">
        <v>44</v>
      </c>
      <c r="AW3" s="197">
        <v>45</v>
      </c>
      <c r="AX3" s="198">
        <v>46</v>
      </c>
      <c r="AY3" s="197">
        <v>47</v>
      </c>
      <c r="AZ3" s="198">
        <v>48</v>
      </c>
      <c r="BA3" s="197">
        <v>49</v>
      </c>
      <c r="BB3" s="198">
        <v>50</v>
      </c>
      <c r="BC3" s="197">
        <v>51</v>
      </c>
      <c r="BD3" s="198">
        <v>52</v>
      </c>
      <c r="BE3" s="197">
        <v>53</v>
      </c>
      <c r="BF3" s="198">
        <v>54</v>
      </c>
      <c r="BG3" s="197">
        <v>55</v>
      </c>
      <c r="BH3" s="198">
        <v>56</v>
      </c>
      <c r="BI3" s="197">
        <v>57</v>
      </c>
      <c r="BJ3" s="198">
        <v>58</v>
      </c>
      <c r="BK3" s="197">
        <v>59</v>
      </c>
      <c r="BL3" s="198">
        <v>60</v>
      </c>
      <c r="BM3" s="197">
        <v>61</v>
      </c>
      <c r="BN3" s="198">
        <v>62</v>
      </c>
      <c r="BO3" s="197">
        <v>63</v>
      </c>
      <c r="BP3" s="198">
        <v>64</v>
      </c>
      <c r="BQ3" s="197">
        <v>65</v>
      </c>
      <c r="BR3" s="198">
        <v>66</v>
      </c>
      <c r="BS3" s="197">
        <v>67</v>
      </c>
      <c r="BT3" s="198">
        <v>68</v>
      </c>
      <c r="BU3" s="197">
        <v>69</v>
      </c>
      <c r="BV3" s="198">
        <v>70</v>
      </c>
      <c r="BW3" s="197">
        <v>71</v>
      </c>
      <c r="BX3" s="198">
        <v>72</v>
      </c>
      <c r="BY3" s="197">
        <v>73</v>
      </c>
      <c r="BZ3" s="198">
        <v>74</v>
      </c>
      <c r="CA3" s="197">
        <v>75</v>
      </c>
      <c r="CB3" s="198">
        <v>76</v>
      </c>
      <c r="CC3" s="197">
        <v>77</v>
      </c>
      <c r="CD3" s="198">
        <v>78</v>
      </c>
      <c r="CE3" s="197">
        <v>79</v>
      </c>
      <c r="CF3" s="198">
        <v>80</v>
      </c>
      <c r="CG3" s="197">
        <v>81</v>
      </c>
      <c r="CH3" s="198">
        <v>82</v>
      </c>
      <c r="CI3" s="197">
        <v>83</v>
      </c>
      <c r="CJ3" s="198">
        <v>84</v>
      </c>
      <c r="CK3" s="197">
        <v>85</v>
      </c>
      <c r="CL3" s="198">
        <v>86</v>
      </c>
      <c r="CM3" s="197">
        <v>87</v>
      </c>
      <c r="CN3" s="198">
        <v>88</v>
      </c>
      <c r="CO3" s="197">
        <v>89</v>
      </c>
      <c r="CP3" s="198">
        <v>90</v>
      </c>
      <c r="CQ3" s="197">
        <v>91</v>
      </c>
      <c r="CR3" s="198">
        <v>92</v>
      </c>
      <c r="CS3" s="197">
        <v>93</v>
      </c>
      <c r="CT3" s="198">
        <v>94</v>
      </c>
      <c r="CU3" s="197">
        <v>95</v>
      </c>
      <c r="CV3" s="198">
        <v>96</v>
      </c>
      <c r="CW3" s="197">
        <v>97</v>
      </c>
      <c r="CX3" s="198">
        <v>98</v>
      </c>
      <c r="CY3" s="1230">
        <v>99</v>
      </c>
    </row>
    <row r="4" spans="1:103" s="2" customFormat="1" ht="30" customHeight="1" x14ac:dyDescent="0.3">
      <c r="A4" s="1250" t="s">
        <v>1681</v>
      </c>
      <c r="B4" s="2552">
        <f>+FENECIMIENTO!D6</f>
        <v>2025</v>
      </c>
      <c r="C4" s="2553"/>
      <c r="D4" s="1234" t="s">
        <v>170</v>
      </c>
      <c r="E4" s="107" t="s">
        <v>458</v>
      </c>
      <c r="F4" s="108"/>
      <c r="G4" s="108"/>
      <c r="H4" s="108"/>
      <c r="I4" s="108"/>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09"/>
      <c r="BR4" s="109"/>
      <c r="BS4" s="109"/>
      <c r="BT4" s="109"/>
      <c r="BU4" s="109"/>
      <c r="BV4" s="109"/>
      <c r="BW4" s="109"/>
      <c r="BX4" s="109"/>
      <c r="BY4" s="109"/>
      <c r="BZ4" s="109"/>
      <c r="CA4" s="109"/>
      <c r="CB4" s="109"/>
      <c r="CC4" s="109"/>
      <c r="CD4" s="109"/>
      <c r="CE4" s="109"/>
      <c r="CF4" s="109"/>
      <c r="CG4" s="109"/>
      <c r="CH4" s="109"/>
      <c r="CI4" s="109"/>
      <c r="CJ4" s="109"/>
      <c r="CK4" s="109"/>
      <c r="CL4" s="109"/>
      <c r="CM4" s="109"/>
      <c r="CN4" s="109"/>
      <c r="CO4" s="109"/>
      <c r="CP4" s="109"/>
      <c r="CQ4" s="109"/>
      <c r="CR4" s="109"/>
      <c r="CS4" s="109"/>
      <c r="CT4" s="109"/>
      <c r="CU4" s="109"/>
      <c r="CV4" s="109"/>
      <c r="CW4" s="109"/>
      <c r="CX4" s="109"/>
      <c r="CY4" s="110"/>
    </row>
    <row r="5" spans="1:103" s="2" customFormat="1" ht="30" customHeight="1" x14ac:dyDescent="0.3">
      <c r="A5" s="1251" t="s">
        <v>463</v>
      </c>
      <c r="B5" s="2554">
        <f>+FENECIMIENTO!K6</f>
        <v>87</v>
      </c>
      <c r="C5" s="2555"/>
      <c r="D5" s="1235" t="s">
        <v>172</v>
      </c>
      <c r="E5" s="111"/>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3"/>
    </row>
    <row r="6" spans="1:103" s="2" customFormat="1" ht="30" customHeight="1" x14ac:dyDescent="0.3">
      <c r="A6" s="1251" t="s">
        <v>462</v>
      </c>
      <c r="B6" s="2554">
        <f>+FENECIMIENTO!K5</f>
        <v>2024</v>
      </c>
      <c r="C6" s="2556"/>
      <c r="D6" s="1235" t="s">
        <v>173</v>
      </c>
      <c r="E6" s="114" t="s">
        <v>282</v>
      </c>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c r="BV6" s="114"/>
      <c r="BW6" s="114"/>
      <c r="BX6" s="114"/>
      <c r="BY6" s="114"/>
      <c r="BZ6" s="114"/>
      <c r="CA6" s="114"/>
      <c r="CB6" s="114"/>
      <c r="CC6" s="114"/>
      <c r="CD6" s="114"/>
      <c r="CE6" s="114"/>
      <c r="CF6" s="114"/>
      <c r="CG6" s="114"/>
      <c r="CH6" s="114"/>
      <c r="CI6" s="114"/>
      <c r="CJ6" s="114"/>
      <c r="CK6" s="114"/>
      <c r="CL6" s="114"/>
      <c r="CM6" s="114"/>
      <c r="CN6" s="114"/>
      <c r="CO6" s="114"/>
      <c r="CP6" s="114"/>
      <c r="CQ6" s="114"/>
      <c r="CR6" s="114"/>
      <c r="CS6" s="114"/>
      <c r="CT6" s="114"/>
      <c r="CU6" s="114"/>
      <c r="CV6" s="114"/>
      <c r="CW6" s="114"/>
      <c r="CX6" s="114"/>
      <c r="CY6" s="114"/>
    </row>
    <row r="7" spans="1:103" s="2" customFormat="1" ht="30" customHeight="1" x14ac:dyDescent="0.3">
      <c r="A7" s="1251" t="s">
        <v>1736</v>
      </c>
      <c r="B7" s="2557">
        <f>ValorUniverso</f>
        <v>3857851547</v>
      </c>
      <c r="C7" s="2558"/>
      <c r="D7" s="1235" t="s">
        <v>174</v>
      </c>
      <c r="E7" s="115"/>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7"/>
    </row>
    <row r="8" spans="1:103" s="3" customFormat="1" ht="30" customHeight="1" x14ac:dyDescent="0.3">
      <c r="A8" s="1251" t="s">
        <v>1737</v>
      </c>
      <c r="B8" s="2559" t="str">
        <f>Riesgo</f>
        <v>MEDIO</v>
      </c>
      <c r="C8" s="2560"/>
      <c r="D8" s="1235" t="s">
        <v>175</v>
      </c>
      <c r="E8" s="118">
        <v>78985898</v>
      </c>
      <c r="F8" s="119">
        <v>148898989</v>
      </c>
      <c r="G8" s="119">
        <v>159800000</v>
      </c>
      <c r="H8" s="119">
        <v>258000000</v>
      </c>
      <c r="I8" s="119">
        <v>698705598</v>
      </c>
      <c r="J8" s="119">
        <v>89797989</v>
      </c>
      <c r="K8" s="119">
        <v>169826565</v>
      </c>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20"/>
    </row>
    <row r="9" spans="1:103" s="3" customFormat="1" ht="30" customHeight="1" x14ac:dyDescent="0.3">
      <c r="A9" s="1251" t="s">
        <v>171</v>
      </c>
      <c r="B9" s="2559">
        <f>Parametro_Min</f>
        <v>0.75</v>
      </c>
      <c r="C9" s="2560"/>
      <c r="D9" s="1235" t="s">
        <v>1744</v>
      </c>
      <c r="E9" s="118">
        <v>75000000</v>
      </c>
      <c r="F9" s="119">
        <v>10000000</v>
      </c>
      <c r="G9" s="119">
        <v>149800000</v>
      </c>
      <c r="H9" s="119">
        <v>258000000</v>
      </c>
      <c r="I9" s="119">
        <v>158963969</v>
      </c>
      <c r="J9" s="119">
        <v>89098989</v>
      </c>
      <c r="K9" s="119">
        <v>169826565</v>
      </c>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20"/>
    </row>
    <row r="10" spans="1:103" s="3" customFormat="1" ht="31.5" customHeight="1" x14ac:dyDescent="0.3">
      <c r="A10" s="1251" t="s">
        <v>1738</v>
      </c>
      <c r="B10" s="2557">
        <f>Muestra_Min</f>
        <v>964462886.75</v>
      </c>
      <c r="C10" s="2558"/>
      <c r="D10" s="1235" t="s">
        <v>180</v>
      </c>
      <c r="E10" s="111" t="s">
        <v>1748</v>
      </c>
      <c r="F10" s="112" t="s">
        <v>181</v>
      </c>
      <c r="G10" s="112" t="s">
        <v>182</v>
      </c>
      <c r="H10" s="112" t="s">
        <v>183</v>
      </c>
      <c r="I10" s="112" t="s">
        <v>184</v>
      </c>
      <c r="J10" s="112" t="s">
        <v>185</v>
      </c>
      <c r="K10" s="112" t="s">
        <v>186</v>
      </c>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3"/>
    </row>
    <row r="11" spans="1:103" s="4" customFormat="1" ht="37.5" hidden="1" customHeight="1" x14ac:dyDescent="0.3">
      <c r="A11" s="1251" t="s">
        <v>1739</v>
      </c>
      <c r="B11" s="2561" t="str">
        <f>IF(B12&gt;=B10,"SI CUMPLE","NO CUMPLE")</f>
        <v>NO CUMPLE</v>
      </c>
      <c r="C11" s="2562"/>
    </row>
    <row r="12" spans="1:103" s="4" customFormat="1" ht="37.5" customHeight="1" thickBot="1" x14ac:dyDescent="0.35">
      <c r="A12" s="1252" t="s">
        <v>176</v>
      </c>
      <c r="B12" s="2545">
        <f>SUM(E9:CY9)</f>
        <v>910689523</v>
      </c>
      <c r="C12" s="2546"/>
      <c r="D12" s="1235" t="s">
        <v>188</v>
      </c>
      <c r="E12" s="121" t="s">
        <v>459</v>
      </c>
      <c r="F12" s="122" t="s">
        <v>189</v>
      </c>
      <c r="G12" s="122" t="s">
        <v>190</v>
      </c>
      <c r="H12" s="122" t="s">
        <v>191</v>
      </c>
      <c r="I12" s="122" t="s">
        <v>191</v>
      </c>
      <c r="J12" s="122" t="s">
        <v>191</v>
      </c>
      <c r="K12" s="122" t="s">
        <v>192</v>
      </c>
      <c r="L12" s="122" t="s">
        <v>192</v>
      </c>
      <c r="M12" s="122" t="s">
        <v>191</v>
      </c>
      <c r="N12" s="122" t="s">
        <v>191</v>
      </c>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c r="BW12" s="122"/>
      <c r="BX12" s="122"/>
      <c r="BY12" s="122"/>
      <c r="BZ12" s="122"/>
      <c r="CA12" s="122"/>
      <c r="CB12" s="122"/>
      <c r="CC12" s="122"/>
      <c r="CD12" s="122"/>
      <c r="CE12" s="122"/>
      <c r="CF12" s="122"/>
      <c r="CG12" s="122"/>
      <c r="CH12" s="122"/>
      <c r="CI12" s="122"/>
      <c r="CJ12" s="122"/>
      <c r="CK12" s="122"/>
      <c r="CL12" s="122"/>
      <c r="CM12" s="122"/>
      <c r="CN12" s="122"/>
      <c r="CO12" s="122"/>
      <c r="CP12" s="122"/>
      <c r="CQ12" s="122"/>
      <c r="CR12" s="122"/>
      <c r="CS12" s="122"/>
      <c r="CT12" s="122"/>
      <c r="CU12" s="122"/>
      <c r="CV12" s="122"/>
      <c r="CW12" s="122"/>
      <c r="CX12" s="122"/>
      <c r="CY12" s="123"/>
    </row>
    <row r="13" spans="1:103" s="4" customFormat="1" ht="35.25" customHeight="1" thickBot="1" x14ac:dyDescent="0.35">
      <c r="A13" s="2544" t="s">
        <v>177</v>
      </c>
      <c r="B13" s="2544" t="s">
        <v>178</v>
      </c>
      <c r="C13" s="2563" t="s">
        <v>179</v>
      </c>
      <c r="D13" s="1236" t="s">
        <v>194</v>
      </c>
      <c r="E13" s="121" t="s">
        <v>1749</v>
      </c>
      <c r="F13" s="122" t="s">
        <v>1750</v>
      </c>
      <c r="G13" s="122" t="s">
        <v>1751</v>
      </c>
      <c r="H13" s="122" t="s">
        <v>1752</v>
      </c>
      <c r="I13" s="122" t="s">
        <v>1752</v>
      </c>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3"/>
    </row>
    <row r="14" spans="1:103" s="3" customFormat="1" ht="30" customHeight="1" thickBot="1" x14ac:dyDescent="0.35">
      <c r="A14" s="2544"/>
      <c r="B14" s="2544"/>
      <c r="C14" s="2563"/>
      <c r="D14" s="1236" t="s">
        <v>196</v>
      </c>
      <c r="E14" s="124" t="s">
        <v>436</v>
      </c>
      <c r="F14" s="124" t="s">
        <v>436</v>
      </c>
      <c r="G14" s="124" t="s">
        <v>197</v>
      </c>
      <c r="H14" s="124" t="s">
        <v>198</v>
      </c>
      <c r="I14" s="124" t="s">
        <v>197</v>
      </c>
      <c r="J14" s="124" t="s">
        <v>197</v>
      </c>
      <c r="K14" s="124" t="s">
        <v>198</v>
      </c>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28"/>
    </row>
    <row r="15" spans="1:103" s="3" customFormat="1" ht="30" customHeight="1" x14ac:dyDescent="0.3">
      <c r="A15" s="1239" t="s">
        <v>187</v>
      </c>
      <c r="B15" s="1247" t="str">
        <f>IF(C15="","",IF(C15&gt;=$B$9,"ECONOMICO","ANTIECONOMICO"))</f>
        <v>ANTIECONOMICO</v>
      </c>
      <c r="C15" s="1243">
        <f>IFERROR(IF(_ECONOMIA_CONTRATACION&lt;0,"",_ECONOMIA_CONTRATACION),"")</f>
        <v>0.73259884790203089</v>
      </c>
      <c r="D15" s="1236" t="s">
        <v>199</v>
      </c>
      <c r="E15" s="125">
        <f t="shared" ref="E15:AJ15" si="0">IFERROR(E9/$B$12,"")</f>
        <v>8.2355180449352763E-2</v>
      </c>
      <c r="F15" s="126">
        <f t="shared" si="0"/>
        <v>1.098069072658037E-2</v>
      </c>
      <c r="G15" s="126">
        <f t="shared" si="0"/>
        <v>0.16449074708417394</v>
      </c>
      <c r="H15" s="126">
        <f t="shared" si="0"/>
        <v>0.28330182074577354</v>
      </c>
      <c r="I15" s="126">
        <f t="shared" si="0"/>
        <v>0.17455341802587093</v>
      </c>
      <c r="J15" s="126">
        <f t="shared" si="0"/>
        <v>9.7836844225998629E-2</v>
      </c>
      <c r="K15" s="126">
        <f t="shared" si="0"/>
        <v>0.18648129874224983</v>
      </c>
      <c r="L15" s="126">
        <f t="shared" si="0"/>
        <v>0</v>
      </c>
      <c r="M15" s="126">
        <f t="shared" si="0"/>
        <v>0</v>
      </c>
      <c r="N15" s="126">
        <f t="shared" si="0"/>
        <v>0</v>
      </c>
      <c r="O15" s="126">
        <f t="shared" si="0"/>
        <v>0</v>
      </c>
      <c r="P15" s="126">
        <f t="shared" si="0"/>
        <v>0</v>
      </c>
      <c r="Q15" s="126">
        <f t="shared" si="0"/>
        <v>0</v>
      </c>
      <c r="R15" s="126">
        <f t="shared" si="0"/>
        <v>0</v>
      </c>
      <c r="S15" s="126">
        <f t="shared" si="0"/>
        <v>0</v>
      </c>
      <c r="T15" s="126">
        <f t="shared" si="0"/>
        <v>0</v>
      </c>
      <c r="U15" s="126">
        <f t="shared" si="0"/>
        <v>0</v>
      </c>
      <c r="V15" s="126">
        <f t="shared" si="0"/>
        <v>0</v>
      </c>
      <c r="W15" s="126">
        <f t="shared" si="0"/>
        <v>0</v>
      </c>
      <c r="X15" s="126">
        <f t="shared" si="0"/>
        <v>0</v>
      </c>
      <c r="Y15" s="126">
        <f t="shared" si="0"/>
        <v>0</v>
      </c>
      <c r="Z15" s="126">
        <f t="shared" si="0"/>
        <v>0</v>
      </c>
      <c r="AA15" s="126">
        <f t="shared" si="0"/>
        <v>0</v>
      </c>
      <c r="AB15" s="126">
        <f t="shared" si="0"/>
        <v>0</v>
      </c>
      <c r="AC15" s="126">
        <f t="shared" si="0"/>
        <v>0</v>
      </c>
      <c r="AD15" s="126">
        <f t="shared" si="0"/>
        <v>0</v>
      </c>
      <c r="AE15" s="126">
        <f t="shared" si="0"/>
        <v>0</v>
      </c>
      <c r="AF15" s="126">
        <f t="shared" si="0"/>
        <v>0</v>
      </c>
      <c r="AG15" s="126">
        <f t="shared" si="0"/>
        <v>0</v>
      </c>
      <c r="AH15" s="126">
        <f t="shared" si="0"/>
        <v>0</v>
      </c>
      <c r="AI15" s="126">
        <f t="shared" si="0"/>
        <v>0</v>
      </c>
      <c r="AJ15" s="126">
        <f t="shared" si="0"/>
        <v>0</v>
      </c>
      <c r="AK15" s="126">
        <f t="shared" ref="AK15:BP15" si="1">IFERROR(AK9/$B$12,"")</f>
        <v>0</v>
      </c>
      <c r="AL15" s="126">
        <f t="shared" si="1"/>
        <v>0</v>
      </c>
      <c r="AM15" s="126">
        <f t="shared" si="1"/>
        <v>0</v>
      </c>
      <c r="AN15" s="126">
        <f t="shared" si="1"/>
        <v>0</v>
      </c>
      <c r="AO15" s="126">
        <f t="shared" si="1"/>
        <v>0</v>
      </c>
      <c r="AP15" s="126">
        <f t="shared" si="1"/>
        <v>0</v>
      </c>
      <c r="AQ15" s="126">
        <f t="shared" si="1"/>
        <v>0</v>
      </c>
      <c r="AR15" s="126">
        <f t="shared" si="1"/>
        <v>0</v>
      </c>
      <c r="AS15" s="126">
        <f t="shared" si="1"/>
        <v>0</v>
      </c>
      <c r="AT15" s="126">
        <f t="shared" si="1"/>
        <v>0</v>
      </c>
      <c r="AU15" s="126">
        <f t="shared" si="1"/>
        <v>0</v>
      </c>
      <c r="AV15" s="126">
        <f t="shared" si="1"/>
        <v>0</v>
      </c>
      <c r="AW15" s="126">
        <f t="shared" si="1"/>
        <v>0</v>
      </c>
      <c r="AX15" s="126">
        <f t="shared" si="1"/>
        <v>0</v>
      </c>
      <c r="AY15" s="126">
        <f t="shared" si="1"/>
        <v>0</v>
      </c>
      <c r="AZ15" s="126">
        <f t="shared" si="1"/>
        <v>0</v>
      </c>
      <c r="BA15" s="126">
        <f t="shared" si="1"/>
        <v>0</v>
      </c>
      <c r="BB15" s="126">
        <f t="shared" si="1"/>
        <v>0</v>
      </c>
      <c r="BC15" s="126">
        <f t="shared" si="1"/>
        <v>0</v>
      </c>
      <c r="BD15" s="126">
        <f t="shared" si="1"/>
        <v>0</v>
      </c>
      <c r="BE15" s="126">
        <f t="shared" si="1"/>
        <v>0</v>
      </c>
      <c r="BF15" s="126">
        <f t="shared" si="1"/>
        <v>0</v>
      </c>
      <c r="BG15" s="126">
        <f t="shared" si="1"/>
        <v>0</v>
      </c>
      <c r="BH15" s="126">
        <f t="shared" si="1"/>
        <v>0</v>
      </c>
      <c r="BI15" s="126">
        <f t="shared" si="1"/>
        <v>0</v>
      </c>
      <c r="BJ15" s="126">
        <f t="shared" si="1"/>
        <v>0</v>
      </c>
      <c r="BK15" s="126">
        <f t="shared" si="1"/>
        <v>0</v>
      </c>
      <c r="BL15" s="126">
        <f t="shared" si="1"/>
        <v>0</v>
      </c>
      <c r="BM15" s="126">
        <f t="shared" si="1"/>
        <v>0</v>
      </c>
      <c r="BN15" s="126">
        <f t="shared" si="1"/>
        <v>0</v>
      </c>
      <c r="BO15" s="126">
        <f t="shared" si="1"/>
        <v>0</v>
      </c>
      <c r="BP15" s="126">
        <f t="shared" si="1"/>
        <v>0</v>
      </c>
      <c r="BQ15" s="126">
        <f t="shared" ref="BQ15:CY15" si="2">IFERROR(BQ9/$B$12,"")</f>
        <v>0</v>
      </c>
      <c r="BR15" s="126">
        <f t="shared" si="2"/>
        <v>0</v>
      </c>
      <c r="BS15" s="126">
        <f t="shared" si="2"/>
        <v>0</v>
      </c>
      <c r="BT15" s="126">
        <f t="shared" si="2"/>
        <v>0</v>
      </c>
      <c r="BU15" s="126">
        <f t="shared" si="2"/>
        <v>0</v>
      </c>
      <c r="BV15" s="126">
        <f t="shared" si="2"/>
        <v>0</v>
      </c>
      <c r="BW15" s="126">
        <f t="shared" si="2"/>
        <v>0</v>
      </c>
      <c r="BX15" s="126">
        <f t="shared" si="2"/>
        <v>0</v>
      </c>
      <c r="BY15" s="126">
        <f t="shared" si="2"/>
        <v>0</v>
      </c>
      <c r="BZ15" s="126">
        <f t="shared" si="2"/>
        <v>0</v>
      </c>
      <c r="CA15" s="126">
        <f t="shared" si="2"/>
        <v>0</v>
      </c>
      <c r="CB15" s="126">
        <f t="shared" si="2"/>
        <v>0</v>
      </c>
      <c r="CC15" s="126">
        <f t="shared" si="2"/>
        <v>0</v>
      </c>
      <c r="CD15" s="126">
        <f t="shared" si="2"/>
        <v>0</v>
      </c>
      <c r="CE15" s="126">
        <f t="shared" si="2"/>
        <v>0</v>
      </c>
      <c r="CF15" s="126">
        <f t="shared" si="2"/>
        <v>0</v>
      </c>
      <c r="CG15" s="126">
        <f t="shared" si="2"/>
        <v>0</v>
      </c>
      <c r="CH15" s="126">
        <f t="shared" si="2"/>
        <v>0</v>
      </c>
      <c r="CI15" s="126">
        <f t="shared" si="2"/>
        <v>0</v>
      </c>
      <c r="CJ15" s="126">
        <f t="shared" si="2"/>
        <v>0</v>
      </c>
      <c r="CK15" s="126">
        <f t="shared" si="2"/>
        <v>0</v>
      </c>
      <c r="CL15" s="126">
        <f t="shared" si="2"/>
        <v>0</v>
      </c>
      <c r="CM15" s="126">
        <f t="shared" si="2"/>
        <v>0</v>
      </c>
      <c r="CN15" s="126">
        <f t="shared" si="2"/>
        <v>0</v>
      </c>
      <c r="CO15" s="126">
        <f t="shared" si="2"/>
        <v>0</v>
      </c>
      <c r="CP15" s="126">
        <f t="shared" si="2"/>
        <v>0</v>
      </c>
      <c r="CQ15" s="126">
        <f t="shared" si="2"/>
        <v>0</v>
      </c>
      <c r="CR15" s="126">
        <f t="shared" si="2"/>
        <v>0</v>
      </c>
      <c r="CS15" s="126">
        <f t="shared" si="2"/>
        <v>0</v>
      </c>
      <c r="CT15" s="126">
        <f t="shared" si="2"/>
        <v>0</v>
      </c>
      <c r="CU15" s="126">
        <f t="shared" si="2"/>
        <v>0</v>
      </c>
      <c r="CV15" s="126">
        <f t="shared" si="2"/>
        <v>0</v>
      </c>
      <c r="CW15" s="126">
        <f t="shared" si="2"/>
        <v>0</v>
      </c>
      <c r="CX15" s="126">
        <f t="shared" si="2"/>
        <v>0</v>
      </c>
      <c r="CY15" s="1229">
        <f t="shared" si="2"/>
        <v>0</v>
      </c>
    </row>
    <row r="16" spans="1:103" s="3" customFormat="1" ht="35.25" customHeight="1" x14ac:dyDescent="0.3">
      <c r="A16" s="1240" t="s">
        <v>193</v>
      </c>
      <c r="B16" s="1240" t="str">
        <f>IF(C16="","",IF(C16&gt;=$B$9,"EFICAZ","INEFICAZ"))</f>
        <v>INEFICAZ</v>
      </c>
      <c r="C16" s="1244">
        <f>IFERROR(IF(_EFICACIA_CONTRATACION&lt;0,"",_EFICACIA_CONTRATACION),"")</f>
        <v>0.73269837205523991</v>
      </c>
      <c r="D16" s="1236" t="s">
        <v>201</v>
      </c>
      <c r="E16" s="127" t="s">
        <v>296</v>
      </c>
      <c r="F16" s="128" t="s">
        <v>204</v>
      </c>
      <c r="G16" s="128" t="s">
        <v>294</v>
      </c>
      <c r="H16" s="128" t="s">
        <v>205</v>
      </c>
      <c r="I16" s="128" t="s">
        <v>203</v>
      </c>
      <c r="J16" s="128" t="s">
        <v>204</v>
      </c>
      <c r="K16" s="128" t="s">
        <v>205</v>
      </c>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9"/>
    </row>
    <row r="17" spans="1:103" s="5" customFormat="1" ht="30" customHeight="1" thickBot="1" x14ac:dyDescent="0.35">
      <c r="A17" s="1241" t="s">
        <v>195</v>
      </c>
      <c r="B17" s="1248" t="str">
        <f>IF(C17="","",IF(C17&gt;=$B$9,"EFICIENTE","DEFICIENTE"))</f>
        <v>DEFICIENTE</v>
      </c>
      <c r="C17" s="1245">
        <f>IFERROR(IF(_EFICIENCIA_CONTRATACION&lt;0,"",_EFICIENCIA_CONTRATACION),"")</f>
        <v>0.7380806175037109</v>
      </c>
      <c r="D17" s="1236" t="s">
        <v>1745</v>
      </c>
      <c r="E17" s="130"/>
      <c r="F17" s="131"/>
      <c r="G17" s="131">
        <v>100000000</v>
      </c>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c r="BV17" s="131"/>
      <c r="BW17" s="131"/>
      <c r="BX17" s="131"/>
      <c r="BY17" s="131"/>
      <c r="BZ17" s="131"/>
      <c r="CA17" s="131"/>
      <c r="CB17" s="131"/>
      <c r="CC17" s="131"/>
      <c r="CD17" s="131"/>
      <c r="CE17" s="131"/>
      <c r="CF17" s="131"/>
      <c r="CG17" s="131"/>
      <c r="CH17" s="131"/>
      <c r="CI17" s="131"/>
      <c r="CJ17" s="131"/>
      <c r="CK17" s="131"/>
      <c r="CL17" s="131"/>
      <c r="CM17" s="131"/>
      <c r="CN17" s="131"/>
      <c r="CO17" s="131"/>
      <c r="CP17" s="131"/>
      <c r="CQ17" s="131"/>
      <c r="CR17" s="131"/>
      <c r="CS17" s="131"/>
      <c r="CT17" s="131"/>
      <c r="CU17" s="131"/>
      <c r="CV17" s="131"/>
      <c r="CW17" s="131"/>
      <c r="CX17" s="131"/>
      <c r="CY17" s="132"/>
    </row>
    <row r="18" spans="1:103" s="5" customFormat="1" ht="33.75" customHeight="1" thickBot="1" x14ac:dyDescent="0.35">
      <c r="A18" s="1242" t="s">
        <v>200</v>
      </c>
      <c r="B18" s="1249" t="str">
        <f>IFERROR(
IF(AND(C18&gt;=$B$9,OR(B15&lt;&gt;"ECONOMICO",B16&lt;&gt;"EFICAZ",B17&lt;&gt;"EFICIENTE")),"MODERADAMENTE EFECTIVO",
IF($B$8="BAJO",VLOOKUP($C$18,TablaConcepto[],4,TRUE),IF($B$8="MEDIO",VLOOKUP($C$18,TablaConcepto[[MEDIO]:[Concepto]],3,TRUE),VLOOKUP($C$18,TablaConcepto[[ALTO]:[Concepto]],2,TRUE)))),
"")</f>
        <v>CON OBSERVACIONES</v>
      </c>
      <c r="C18" s="1246">
        <f>IFERROR(AVERAGE(C15:C17),"")</f>
        <v>0.73445927915366049</v>
      </c>
      <c r="D18" s="1237" t="s">
        <v>206</v>
      </c>
      <c r="E18" s="133"/>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5"/>
    </row>
    <row r="19" spans="1:103" s="6" customFormat="1" ht="35.25" customHeight="1" x14ac:dyDescent="0.3"/>
    <row r="20" spans="1:103" s="7" customFormat="1" ht="25.5" customHeight="1" thickBot="1" x14ac:dyDescent="0.35">
      <c r="A20" s="5"/>
      <c r="B20" s="1178" t="b">
        <f>AND(C18&gt;=B9,OR(B15&lt;&gt;"ECONOMICO",B16&lt;&gt;"EFICAZ",B17&lt;&gt;"EFICIENTE"))</f>
        <v>0</v>
      </c>
      <c r="C20" s="5"/>
      <c r="D20" s="136"/>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row>
    <row r="21" spans="1:103" s="8" customFormat="1" ht="24.6" thickBot="1" x14ac:dyDescent="0.35">
      <c r="A21" s="1179" t="s">
        <v>207</v>
      </c>
      <c r="B21" s="1180" t="s">
        <v>208</v>
      </c>
      <c r="C21" s="1180" t="s">
        <v>209</v>
      </c>
      <c r="D21" s="1181" t="s">
        <v>210</v>
      </c>
      <c r="E21" s="139" t="s">
        <v>211</v>
      </c>
      <c r="F21" s="140" t="s">
        <v>211</v>
      </c>
      <c r="G21" s="140" t="s">
        <v>211</v>
      </c>
      <c r="H21" s="140" t="s">
        <v>211</v>
      </c>
      <c r="I21" s="140" t="s">
        <v>211</v>
      </c>
      <c r="J21" s="140" t="s">
        <v>211</v>
      </c>
      <c r="K21" s="140" t="s">
        <v>211</v>
      </c>
      <c r="L21" s="140" t="s">
        <v>211</v>
      </c>
      <c r="M21" s="140" t="s">
        <v>211</v>
      </c>
      <c r="N21" s="140" t="s">
        <v>211</v>
      </c>
      <c r="O21" s="140" t="s">
        <v>211</v>
      </c>
      <c r="P21" s="140" t="s">
        <v>211</v>
      </c>
      <c r="Q21" s="140" t="s">
        <v>211</v>
      </c>
      <c r="R21" s="140" t="s">
        <v>211</v>
      </c>
      <c r="S21" s="140" t="s">
        <v>211</v>
      </c>
      <c r="T21" s="140" t="s">
        <v>211</v>
      </c>
      <c r="U21" s="140" t="s">
        <v>211</v>
      </c>
      <c r="V21" s="140" t="s">
        <v>211</v>
      </c>
      <c r="W21" s="140" t="s">
        <v>211</v>
      </c>
      <c r="X21" s="140" t="s">
        <v>211</v>
      </c>
      <c r="Y21" s="140" t="s">
        <v>211</v>
      </c>
      <c r="Z21" s="140" t="s">
        <v>211</v>
      </c>
      <c r="AA21" s="140" t="s">
        <v>211</v>
      </c>
      <c r="AB21" s="140" t="s">
        <v>211</v>
      </c>
      <c r="AC21" s="140" t="s">
        <v>211</v>
      </c>
      <c r="AD21" s="140" t="s">
        <v>211</v>
      </c>
      <c r="AE21" s="140" t="s">
        <v>211</v>
      </c>
      <c r="AF21" s="140" t="s">
        <v>211</v>
      </c>
      <c r="AG21" s="140" t="s">
        <v>211</v>
      </c>
      <c r="AH21" s="140" t="s">
        <v>211</v>
      </c>
      <c r="AI21" s="140" t="s">
        <v>211</v>
      </c>
      <c r="AJ21" s="140" t="s">
        <v>211</v>
      </c>
      <c r="AK21" s="140" t="s">
        <v>211</v>
      </c>
      <c r="AL21" s="140" t="s">
        <v>211</v>
      </c>
      <c r="AM21" s="140" t="s">
        <v>211</v>
      </c>
      <c r="AN21" s="140" t="s">
        <v>211</v>
      </c>
      <c r="AO21" s="140" t="s">
        <v>211</v>
      </c>
      <c r="AP21" s="140" t="s">
        <v>211</v>
      </c>
      <c r="AQ21" s="140" t="s">
        <v>211</v>
      </c>
      <c r="AR21" s="140" t="s">
        <v>211</v>
      </c>
      <c r="AS21" s="140" t="s">
        <v>211</v>
      </c>
      <c r="AT21" s="140" t="s">
        <v>211</v>
      </c>
      <c r="AU21" s="140" t="s">
        <v>211</v>
      </c>
      <c r="AV21" s="140" t="s">
        <v>211</v>
      </c>
      <c r="AW21" s="140" t="s">
        <v>211</v>
      </c>
      <c r="AX21" s="140" t="s">
        <v>211</v>
      </c>
      <c r="AY21" s="140" t="s">
        <v>211</v>
      </c>
      <c r="AZ21" s="140" t="s">
        <v>211</v>
      </c>
      <c r="BA21" s="140" t="s">
        <v>211</v>
      </c>
      <c r="BB21" s="140" t="s">
        <v>211</v>
      </c>
      <c r="BC21" s="140" t="s">
        <v>211</v>
      </c>
      <c r="BD21" s="140" t="s">
        <v>211</v>
      </c>
      <c r="BE21" s="140" t="s">
        <v>211</v>
      </c>
      <c r="BF21" s="140" t="s">
        <v>211</v>
      </c>
      <c r="BG21" s="140" t="s">
        <v>211</v>
      </c>
      <c r="BH21" s="140" t="s">
        <v>211</v>
      </c>
      <c r="BI21" s="140" t="s">
        <v>211</v>
      </c>
      <c r="BJ21" s="140" t="s">
        <v>211</v>
      </c>
      <c r="BK21" s="140" t="s">
        <v>211</v>
      </c>
      <c r="BL21" s="140" t="s">
        <v>211</v>
      </c>
      <c r="BM21" s="140" t="s">
        <v>211</v>
      </c>
      <c r="BN21" s="140" t="s">
        <v>211</v>
      </c>
      <c r="BO21" s="140" t="s">
        <v>211</v>
      </c>
      <c r="BP21" s="140" t="s">
        <v>211</v>
      </c>
      <c r="BQ21" s="140" t="s">
        <v>211</v>
      </c>
      <c r="BR21" s="140" t="s">
        <v>211</v>
      </c>
      <c r="BS21" s="140" t="s">
        <v>211</v>
      </c>
      <c r="BT21" s="140" t="s">
        <v>211</v>
      </c>
      <c r="BU21" s="140" t="s">
        <v>211</v>
      </c>
      <c r="BV21" s="140" t="s">
        <v>211</v>
      </c>
      <c r="BW21" s="140" t="s">
        <v>211</v>
      </c>
      <c r="BX21" s="140" t="s">
        <v>211</v>
      </c>
      <c r="BY21" s="140" t="s">
        <v>211</v>
      </c>
      <c r="BZ21" s="140" t="s">
        <v>211</v>
      </c>
      <c r="CA21" s="140" t="s">
        <v>211</v>
      </c>
      <c r="CB21" s="140" t="s">
        <v>211</v>
      </c>
      <c r="CC21" s="140" t="s">
        <v>211</v>
      </c>
      <c r="CD21" s="140" t="s">
        <v>211</v>
      </c>
      <c r="CE21" s="140" t="s">
        <v>211</v>
      </c>
      <c r="CF21" s="140" t="s">
        <v>211</v>
      </c>
      <c r="CG21" s="140" t="s">
        <v>211</v>
      </c>
      <c r="CH21" s="140" t="s">
        <v>211</v>
      </c>
      <c r="CI21" s="140" t="s">
        <v>211</v>
      </c>
      <c r="CJ21" s="140" t="s">
        <v>211</v>
      </c>
      <c r="CK21" s="140" t="s">
        <v>211</v>
      </c>
      <c r="CL21" s="140" t="s">
        <v>211</v>
      </c>
      <c r="CM21" s="140" t="s">
        <v>211</v>
      </c>
      <c r="CN21" s="140" t="s">
        <v>211</v>
      </c>
      <c r="CO21" s="140" t="s">
        <v>211</v>
      </c>
      <c r="CP21" s="140" t="s">
        <v>211</v>
      </c>
      <c r="CQ21" s="140" t="s">
        <v>211</v>
      </c>
      <c r="CR21" s="140" t="s">
        <v>211</v>
      </c>
      <c r="CS21" s="140" t="s">
        <v>211</v>
      </c>
      <c r="CT21" s="140" t="s">
        <v>211</v>
      </c>
      <c r="CU21" s="140" t="s">
        <v>211</v>
      </c>
      <c r="CV21" s="140" t="s">
        <v>211</v>
      </c>
      <c r="CW21" s="140" t="s">
        <v>211</v>
      </c>
      <c r="CX21" s="140" t="s">
        <v>211</v>
      </c>
      <c r="CY21" s="141" t="s">
        <v>211</v>
      </c>
    </row>
    <row r="22" spans="1:103" s="1" customFormat="1" ht="87" customHeight="1" x14ac:dyDescent="0.3">
      <c r="A22" s="2534" t="s">
        <v>212</v>
      </c>
      <c r="B22" s="142" t="s">
        <v>213</v>
      </c>
      <c r="C22" s="143" t="s">
        <v>193</v>
      </c>
      <c r="D22" s="144" t="s">
        <v>214</v>
      </c>
      <c r="E22" s="145">
        <v>1</v>
      </c>
      <c r="F22" s="146">
        <v>0.9</v>
      </c>
      <c r="G22" s="146">
        <v>0.3</v>
      </c>
      <c r="H22" s="146">
        <v>1</v>
      </c>
      <c r="I22" s="146">
        <v>1</v>
      </c>
      <c r="J22" s="146">
        <v>1</v>
      </c>
      <c r="K22" s="146">
        <v>1</v>
      </c>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7"/>
    </row>
    <row r="23" spans="1:103" s="1" customFormat="1" ht="96.75" customHeight="1" x14ac:dyDescent="0.3">
      <c r="A23" s="2535"/>
      <c r="B23" s="142" t="s">
        <v>215</v>
      </c>
      <c r="C23" s="143" t="s">
        <v>193</v>
      </c>
      <c r="D23" s="144" t="s">
        <v>216</v>
      </c>
      <c r="E23" s="148">
        <v>1</v>
      </c>
      <c r="F23" s="149">
        <v>1</v>
      </c>
      <c r="G23" s="149">
        <v>1</v>
      </c>
      <c r="H23" s="149">
        <v>1</v>
      </c>
      <c r="I23" s="149">
        <v>1</v>
      </c>
      <c r="J23" s="149">
        <v>0.9</v>
      </c>
      <c r="K23" s="149">
        <v>0.9</v>
      </c>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50"/>
    </row>
    <row r="24" spans="1:103" s="1" customFormat="1" ht="69" customHeight="1" x14ac:dyDescent="0.3">
      <c r="A24" s="2535"/>
      <c r="B24" s="142" t="s">
        <v>217</v>
      </c>
      <c r="C24" s="143" t="s">
        <v>187</v>
      </c>
      <c r="D24" s="144" t="s">
        <v>218</v>
      </c>
      <c r="E24" s="148">
        <v>1</v>
      </c>
      <c r="F24" s="149">
        <v>0.9</v>
      </c>
      <c r="G24" s="149">
        <v>0.9</v>
      </c>
      <c r="H24" s="149">
        <v>0.9</v>
      </c>
      <c r="I24" s="149">
        <v>1</v>
      </c>
      <c r="J24" s="149">
        <v>1</v>
      </c>
      <c r="K24" s="149">
        <v>1</v>
      </c>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50"/>
    </row>
    <row r="25" spans="1:103" s="1" customFormat="1" ht="45" customHeight="1" x14ac:dyDescent="0.3">
      <c r="A25" s="2535"/>
      <c r="B25" s="142" t="s">
        <v>219</v>
      </c>
      <c r="C25" s="143" t="s">
        <v>193</v>
      </c>
      <c r="D25" s="144" t="s">
        <v>220</v>
      </c>
      <c r="E25" s="148">
        <v>1</v>
      </c>
      <c r="F25" s="149">
        <v>1</v>
      </c>
      <c r="G25" s="149">
        <v>0.85</v>
      </c>
      <c r="H25" s="149"/>
      <c r="I25" s="149">
        <v>1</v>
      </c>
      <c r="J25" s="149">
        <v>0.8</v>
      </c>
      <c r="K25" s="149">
        <v>0.8</v>
      </c>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50"/>
    </row>
    <row r="26" spans="1:103" s="1" customFormat="1" ht="70.5" customHeight="1" x14ac:dyDescent="0.3">
      <c r="A26" s="2535"/>
      <c r="B26" s="2537" t="s">
        <v>221</v>
      </c>
      <c r="C26" s="143" t="s">
        <v>187</v>
      </c>
      <c r="D26" s="144" t="s">
        <v>222</v>
      </c>
      <c r="E26" s="148">
        <v>1</v>
      </c>
      <c r="F26" s="149">
        <v>0.9</v>
      </c>
      <c r="G26" s="149">
        <v>0.85</v>
      </c>
      <c r="H26" s="149">
        <v>1</v>
      </c>
      <c r="I26" s="149">
        <v>1</v>
      </c>
      <c r="J26" s="149">
        <v>0.8</v>
      </c>
      <c r="K26" s="149">
        <v>0.8</v>
      </c>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50"/>
    </row>
    <row r="27" spans="1:103" s="1" customFormat="1" ht="70.5" customHeight="1" x14ac:dyDescent="0.3">
      <c r="A27" s="2535"/>
      <c r="B27" s="2538"/>
      <c r="C27" s="143" t="s">
        <v>193</v>
      </c>
      <c r="D27" s="144" t="s">
        <v>223</v>
      </c>
      <c r="E27" s="148">
        <v>1</v>
      </c>
      <c r="F27" s="149">
        <v>1</v>
      </c>
      <c r="G27" s="149">
        <v>0.8</v>
      </c>
      <c r="H27" s="149"/>
      <c r="I27" s="149">
        <v>1</v>
      </c>
      <c r="J27" s="149">
        <v>1</v>
      </c>
      <c r="K27" s="149">
        <v>1</v>
      </c>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50"/>
    </row>
    <row r="28" spans="1:103" s="1" customFormat="1" ht="61.5" customHeight="1" x14ac:dyDescent="0.3">
      <c r="A28" s="2535"/>
      <c r="B28" s="2539"/>
      <c r="C28" s="143" t="s">
        <v>187</v>
      </c>
      <c r="D28" s="144" t="s">
        <v>224</v>
      </c>
      <c r="E28" s="148">
        <v>1</v>
      </c>
      <c r="F28" s="149">
        <v>0.9</v>
      </c>
      <c r="G28" s="149">
        <v>1</v>
      </c>
      <c r="H28" s="149"/>
      <c r="I28" s="149">
        <v>1</v>
      </c>
      <c r="J28" s="149">
        <v>1</v>
      </c>
      <c r="K28" s="149">
        <v>1</v>
      </c>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50"/>
    </row>
    <row r="29" spans="1:103" s="1" customFormat="1" ht="55.5" customHeight="1" x14ac:dyDescent="0.3">
      <c r="A29" s="2535"/>
      <c r="B29" s="2540" t="s">
        <v>225</v>
      </c>
      <c r="C29" s="143" t="s">
        <v>187</v>
      </c>
      <c r="D29" s="144" t="s">
        <v>226</v>
      </c>
      <c r="E29" s="148">
        <v>1</v>
      </c>
      <c r="F29" s="149">
        <v>0.85</v>
      </c>
      <c r="G29" s="149">
        <v>0.9</v>
      </c>
      <c r="H29" s="149">
        <v>1</v>
      </c>
      <c r="I29" s="149">
        <v>1</v>
      </c>
      <c r="J29" s="149">
        <v>1</v>
      </c>
      <c r="K29" s="149">
        <v>1</v>
      </c>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50"/>
    </row>
    <row r="30" spans="1:103" s="1" customFormat="1" ht="35.25" customHeight="1" x14ac:dyDescent="0.3">
      <c r="A30" s="2535"/>
      <c r="B30" s="2540"/>
      <c r="C30" s="143" t="s">
        <v>227</v>
      </c>
      <c r="D30" s="2541" t="s">
        <v>228</v>
      </c>
      <c r="E30" s="148">
        <v>1</v>
      </c>
      <c r="F30" s="149">
        <v>0.9</v>
      </c>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50"/>
    </row>
    <row r="31" spans="1:103" s="1" customFormat="1" ht="32.25" customHeight="1" x14ac:dyDescent="0.3">
      <c r="A31" s="2535"/>
      <c r="B31" s="2540"/>
      <c r="C31" s="143" t="s">
        <v>193</v>
      </c>
      <c r="D31" s="2542"/>
      <c r="E31" s="148">
        <v>1</v>
      </c>
      <c r="F31" s="149">
        <v>1</v>
      </c>
      <c r="G31" s="149">
        <v>0.8</v>
      </c>
      <c r="H31" s="149">
        <v>0.9</v>
      </c>
      <c r="I31" s="149">
        <v>1</v>
      </c>
      <c r="J31" s="149">
        <v>0.7</v>
      </c>
      <c r="K31" s="149">
        <v>0.7</v>
      </c>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50"/>
    </row>
    <row r="32" spans="1:103" s="1" customFormat="1" ht="75.75" customHeight="1" x14ac:dyDescent="0.3">
      <c r="A32" s="2535"/>
      <c r="B32" s="2540"/>
      <c r="C32" s="143" t="s">
        <v>193</v>
      </c>
      <c r="D32" s="144" t="s">
        <v>229</v>
      </c>
      <c r="E32" s="148"/>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50"/>
    </row>
    <row r="33" spans="1:103" s="1" customFormat="1" ht="69.75" customHeight="1" x14ac:dyDescent="0.3">
      <c r="A33" s="2535"/>
      <c r="B33" s="2540" t="s">
        <v>230</v>
      </c>
      <c r="C33" s="143" t="s">
        <v>193</v>
      </c>
      <c r="D33" s="144" t="s">
        <v>231</v>
      </c>
      <c r="E33" s="148"/>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50"/>
    </row>
    <row r="34" spans="1:103" s="1" customFormat="1" ht="48" customHeight="1" x14ac:dyDescent="0.3">
      <c r="A34" s="2535"/>
      <c r="B34" s="2540"/>
      <c r="C34" s="143" t="s">
        <v>187</v>
      </c>
      <c r="D34" s="144" t="s">
        <v>232</v>
      </c>
      <c r="E34" s="148">
        <v>1</v>
      </c>
      <c r="F34" s="149">
        <v>0.9</v>
      </c>
      <c r="G34" s="149">
        <v>0.7</v>
      </c>
      <c r="H34" s="149">
        <v>0.9</v>
      </c>
      <c r="I34" s="149">
        <v>1</v>
      </c>
      <c r="J34" s="149">
        <v>1</v>
      </c>
      <c r="K34" s="149">
        <v>1</v>
      </c>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50"/>
    </row>
    <row r="35" spans="1:103" s="1" customFormat="1" ht="30" customHeight="1" x14ac:dyDescent="0.3">
      <c r="A35" s="2535"/>
      <c r="B35" s="2540"/>
      <c r="C35" s="143" t="s">
        <v>187</v>
      </c>
      <c r="D35" s="2541" t="s">
        <v>233</v>
      </c>
      <c r="E35" s="148"/>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50"/>
    </row>
    <row r="36" spans="1:103" s="1" customFormat="1" ht="30.75" customHeight="1" x14ac:dyDescent="0.3">
      <c r="A36" s="2536"/>
      <c r="B36" s="2540"/>
      <c r="C36" s="143" t="s">
        <v>193</v>
      </c>
      <c r="D36" s="2542"/>
      <c r="E36" s="148">
        <v>1</v>
      </c>
      <c r="F36" s="149">
        <v>1</v>
      </c>
      <c r="G36" s="149">
        <v>1</v>
      </c>
      <c r="H36" s="149">
        <v>1</v>
      </c>
      <c r="I36" s="149">
        <v>1</v>
      </c>
      <c r="J36" s="149">
        <v>1</v>
      </c>
      <c r="K36" s="149">
        <v>1</v>
      </c>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50"/>
    </row>
    <row r="37" spans="1:103" s="1" customFormat="1" ht="59.25" customHeight="1" x14ac:dyDescent="0.3">
      <c r="A37" s="2543" t="s">
        <v>234</v>
      </c>
      <c r="B37" s="2533" t="s">
        <v>235</v>
      </c>
      <c r="C37" s="151" t="s">
        <v>193</v>
      </c>
      <c r="D37" s="152" t="s">
        <v>236</v>
      </c>
      <c r="E37" s="247">
        <v>0.9</v>
      </c>
      <c r="F37" s="248">
        <v>0.9</v>
      </c>
      <c r="G37" s="248">
        <v>0.8</v>
      </c>
      <c r="H37" s="248">
        <v>0.9</v>
      </c>
      <c r="I37" s="248">
        <v>1</v>
      </c>
      <c r="J37" s="248">
        <v>0.7</v>
      </c>
      <c r="K37" s="248">
        <v>0.7</v>
      </c>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48"/>
      <c r="BC37" s="248"/>
      <c r="BD37" s="248"/>
      <c r="BE37" s="248"/>
      <c r="BF37" s="248"/>
      <c r="BG37" s="248"/>
      <c r="BH37" s="248"/>
      <c r="BI37" s="248"/>
      <c r="BJ37" s="248"/>
      <c r="BK37" s="248"/>
      <c r="BL37" s="248"/>
      <c r="BM37" s="248"/>
      <c r="BN37" s="248"/>
      <c r="BO37" s="248"/>
      <c r="BP37" s="248"/>
      <c r="BQ37" s="248"/>
      <c r="BR37" s="248"/>
      <c r="BS37" s="248"/>
      <c r="BT37" s="248"/>
      <c r="BU37" s="248"/>
      <c r="BV37" s="248"/>
      <c r="BW37" s="248"/>
      <c r="BX37" s="248"/>
      <c r="BY37" s="248"/>
      <c r="BZ37" s="248"/>
      <c r="CA37" s="248"/>
      <c r="CB37" s="248"/>
      <c r="CC37" s="248"/>
      <c r="CD37" s="248"/>
      <c r="CE37" s="248"/>
      <c r="CF37" s="248"/>
      <c r="CG37" s="248"/>
      <c r="CH37" s="248"/>
      <c r="CI37" s="248"/>
      <c r="CJ37" s="248"/>
      <c r="CK37" s="248"/>
      <c r="CL37" s="248"/>
      <c r="CM37" s="248"/>
      <c r="CN37" s="248"/>
      <c r="CO37" s="248"/>
      <c r="CP37" s="248"/>
      <c r="CQ37" s="248"/>
      <c r="CR37" s="248"/>
      <c r="CS37" s="248"/>
      <c r="CT37" s="248"/>
      <c r="CU37" s="248"/>
      <c r="CV37" s="248"/>
      <c r="CW37" s="248"/>
      <c r="CX37" s="248"/>
      <c r="CY37" s="249"/>
    </row>
    <row r="38" spans="1:103" s="1" customFormat="1" ht="39" customHeight="1" x14ac:dyDescent="0.3">
      <c r="A38" s="2543"/>
      <c r="B38" s="2533"/>
      <c r="C38" s="151" t="s">
        <v>227</v>
      </c>
      <c r="D38" s="2531" t="s">
        <v>237</v>
      </c>
      <c r="E38" s="247">
        <v>1</v>
      </c>
      <c r="F38" s="248">
        <v>0.9</v>
      </c>
      <c r="G38" s="248">
        <v>0.9</v>
      </c>
      <c r="H38" s="248">
        <v>0.8</v>
      </c>
      <c r="I38" s="248">
        <v>1</v>
      </c>
      <c r="J38" s="248">
        <v>1</v>
      </c>
      <c r="K38" s="248">
        <v>1</v>
      </c>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CP38" s="248"/>
      <c r="CQ38" s="248"/>
      <c r="CR38" s="248"/>
      <c r="CS38" s="248"/>
      <c r="CT38" s="248"/>
      <c r="CU38" s="248"/>
      <c r="CV38" s="248"/>
      <c r="CW38" s="248"/>
      <c r="CX38" s="248"/>
      <c r="CY38" s="249"/>
    </row>
    <row r="39" spans="1:103" s="1" customFormat="1" ht="33.75" customHeight="1" x14ac:dyDescent="0.3">
      <c r="A39" s="2543"/>
      <c r="B39" s="2533"/>
      <c r="C39" s="151" t="s">
        <v>195</v>
      </c>
      <c r="D39" s="2532"/>
      <c r="E39" s="247">
        <v>0.8</v>
      </c>
      <c r="F39" s="248">
        <v>0.9</v>
      </c>
      <c r="G39" s="248">
        <v>0.7</v>
      </c>
      <c r="H39" s="248">
        <v>0.8</v>
      </c>
      <c r="I39" s="248">
        <v>1</v>
      </c>
      <c r="J39" s="248">
        <v>1</v>
      </c>
      <c r="K39" s="248">
        <v>1</v>
      </c>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CP39" s="248"/>
      <c r="CQ39" s="248"/>
      <c r="CR39" s="248"/>
      <c r="CS39" s="248"/>
      <c r="CT39" s="248"/>
      <c r="CU39" s="248"/>
      <c r="CV39" s="248"/>
      <c r="CW39" s="248"/>
      <c r="CX39" s="248"/>
      <c r="CY39" s="249"/>
    </row>
    <row r="40" spans="1:103" s="1" customFormat="1" ht="23.25" customHeight="1" x14ac:dyDescent="0.3">
      <c r="A40" s="2543"/>
      <c r="B40" s="2533"/>
      <c r="C40" s="151" t="s">
        <v>227</v>
      </c>
      <c r="D40" s="2531" t="s">
        <v>238</v>
      </c>
      <c r="E40" s="247"/>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48"/>
      <c r="BJ40" s="248"/>
      <c r="BK40" s="248"/>
      <c r="BL40" s="248"/>
      <c r="BM40" s="248"/>
      <c r="BN40" s="248"/>
      <c r="BO40" s="248"/>
      <c r="BP40" s="248"/>
      <c r="BQ40" s="248"/>
      <c r="BR40" s="248"/>
      <c r="BS40" s="248"/>
      <c r="BT40" s="248"/>
      <c r="BU40" s="248"/>
      <c r="BV40" s="248"/>
      <c r="BW40" s="248"/>
      <c r="BX40" s="248"/>
      <c r="BY40" s="248"/>
      <c r="BZ40" s="248"/>
      <c r="CA40" s="248"/>
      <c r="CB40" s="248"/>
      <c r="CC40" s="248"/>
      <c r="CD40" s="248"/>
      <c r="CE40" s="248"/>
      <c r="CF40" s="248"/>
      <c r="CG40" s="248"/>
      <c r="CH40" s="248"/>
      <c r="CI40" s="248"/>
      <c r="CJ40" s="248"/>
      <c r="CK40" s="248"/>
      <c r="CL40" s="248"/>
      <c r="CM40" s="248"/>
      <c r="CN40" s="248"/>
      <c r="CO40" s="248"/>
      <c r="CP40" s="248"/>
      <c r="CQ40" s="248"/>
      <c r="CR40" s="248"/>
      <c r="CS40" s="248"/>
      <c r="CT40" s="248"/>
      <c r="CU40" s="248"/>
      <c r="CV40" s="248"/>
      <c r="CW40" s="248"/>
      <c r="CX40" s="248"/>
      <c r="CY40" s="249"/>
    </row>
    <row r="41" spans="1:103" s="1" customFormat="1" ht="24.75" customHeight="1" x14ac:dyDescent="0.3">
      <c r="A41" s="2543"/>
      <c r="B41" s="2533"/>
      <c r="C41" s="151" t="s">
        <v>195</v>
      </c>
      <c r="D41" s="2532"/>
      <c r="E41" s="247">
        <v>1</v>
      </c>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48"/>
      <c r="BC41" s="248"/>
      <c r="BD41" s="248"/>
      <c r="BE41" s="248"/>
      <c r="BF41" s="248"/>
      <c r="BG41" s="248"/>
      <c r="BH41" s="248"/>
      <c r="BI41" s="248"/>
      <c r="BJ41" s="248"/>
      <c r="BK41" s="248"/>
      <c r="BL41" s="248"/>
      <c r="BM41" s="248"/>
      <c r="BN41" s="248"/>
      <c r="BO41" s="248"/>
      <c r="BP41" s="248"/>
      <c r="BQ41" s="248"/>
      <c r="BR41" s="248"/>
      <c r="BS41" s="248"/>
      <c r="BT41" s="248"/>
      <c r="BU41" s="248"/>
      <c r="BV41" s="248"/>
      <c r="BW41" s="248"/>
      <c r="BX41" s="248"/>
      <c r="BY41" s="248"/>
      <c r="BZ41" s="248"/>
      <c r="CA41" s="248"/>
      <c r="CB41" s="248"/>
      <c r="CC41" s="248"/>
      <c r="CD41" s="248"/>
      <c r="CE41" s="248"/>
      <c r="CF41" s="248"/>
      <c r="CG41" s="248"/>
      <c r="CH41" s="248"/>
      <c r="CI41" s="248"/>
      <c r="CJ41" s="248"/>
      <c r="CK41" s="248"/>
      <c r="CL41" s="248"/>
      <c r="CM41" s="248"/>
      <c r="CN41" s="248"/>
      <c r="CO41" s="248"/>
      <c r="CP41" s="248"/>
      <c r="CQ41" s="248"/>
      <c r="CR41" s="248"/>
      <c r="CS41" s="248"/>
      <c r="CT41" s="248"/>
      <c r="CU41" s="248"/>
      <c r="CV41" s="248"/>
      <c r="CW41" s="248"/>
      <c r="CX41" s="248"/>
      <c r="CY41" s="249"/>
    </row>
    <row r="42" spans="1:103" s="1" customFormat="1" ht="39" customHeight="1" x14ac:dyDescent="0.3">
      <c r="A42" s="2543"/>
      <c r="B42" s="2533"/>
      <c r="C42" s="151" t="s">
        <v>187</v>
      </c>
      <c r="D42" s="152" t="s">
        <v>239</v>
      </c>
      <c r="E42" s="247">
        <v>1</v>
      </c>
      <c r="F42" s="248">
        <v>0.9</v>
      </c>
      <c r="G42" s="248">
        <v>0.8</v>
      </c>
      <c r="H42" s="248">
        <v>0.8</v>
      </c>
      <c r="I42" s="248">
        <v>1</v>
      </c>
      <c r="J42" s="248">
        <v>1</v>
      </c>
      <c r="K42" s="248">
        <v>1</v>
      </c>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48"/>
      <c r="BC42" s="248"/>
      <c r="BD42" s="248"/>
      <c r="BE42" s="248"/>
      <c r="BF42" s="248"/>
      <c r="BG42" s="248"/>
      <c r="BH42" s="248"/>
      <c r="BI42" s="248"/>
      <c r="BJ42" s="248"/>
      <c r="BK42" s="248"/>
      <c r="BL42" s="248"/>
      <c r="BM42" s="248"/>
      <c r="BN42" s="248"/>
      <c r="BO42" s="248"/>
      <c r="BP42" s="248"/>
      <c r="BQ42" s="248"/>
      <c r="BR42" s="248"/>
      <c r="BS42" s="248"/>
      <c r="BT42" s="248"/>
      <c r="BU42" s="248"/>
      <c r="BV42" s="248"/>
      <c r="BW42" s="248"/>
      <c r="BX42" s="248"/>
      <c r="BY42" s="248"/>
      <c r="BZ42" s="248"/>
      <c r="CA42" s="248"/>
      <c r="CB42" s="248"/>
      <c r="CC42" s="248"/>
      <c r="CD42" s="248"/>
      <c r="CE42" s="248"/>
      <c r="CF42" s="248"/>
      <c r="CG42" s="248"/>
      <c r="CH42" s="248"/>
      <c r="CI42" s="248"/>
      <c r="CJ42" s="248"/>
      <c r="CK42" s="248"/>
      <c r="CL42" s="248"/>
      <c r="CM42" s="248"/>
      <c r="CN42" s="248"/>
      <c r="CO42" s="248"/>
      <c r="CP42" s="248"/>
      <c r="CQ42" s="248"/>
      <c r="CR42" s="248"/>
      <c r="CS42" s="248"/>
      <c r="CT42" s="248"/>
      <c r="CU42" s="248"/>
      <c r="CV42" s="248"/>
      <c r="CW42" s="248"/>
      <c r="CX42" s="248"/>
      <c r="CY42" s="249"/>
    </row>
    <row r="43" spans="1:103" s="1" customFormat="1" ht="32.25" customHeight="1" x14ac:dyDescent="0.3">
      <c r="A43" s="2543"/>
      <c r="B43" s="2533"/>
      <c r="C43" s="151" t="s">
        <v>227</v>
      </c>
      <c r="D43" s="2531" t="s">
        <v>240</v>
      </c>
      <c r="E43" s="247">
        <v>1</v>
      </c>
      <c r="F43" s="248">
        <v>0.9</v>
      </c>
      <c r="G43" s="248">
        <v>0.8</v>
      </c>
      <c r="H43" s="248">
        <v>0.8</v>
      </c>
      <c r="I43" s="248">
        <v>1</v>
      </c>
      <c r="J43" s="248">
        <v>1</v>
      </c>
      <c r="K43" s="248">
        <v>1</v>
      </c>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48"/>
      <c r="BC43" s="248"/>
      <c r="BD43" s="248"/>
      <c r="BE43" s="248"/>
      <c r="BF43" s="248"/>
      <c r="BG43" s="248"/>
      <c r="BH43" s="248"/>
      <c r="BI43" s="248"/>
      <c r="BJ43" s="248"/>
      <c r="BK43" s="248"/>
      <c r="BL43" s="248"/>
      <c r="BM43" s="248"/>
      <c r="BN43" s="248"/>
      <c r="BO43" s="248"/>
      <c r="BP43" s="248"/>
      <c r="BQ43" s="248"/>
      <c r="BR43" s="248"/>
      <c r="BS43" s="248"/>
      <c r="BT43" s="248"/>
      <c r="BU43" s="248"/>
      <c r="BV43" s="248"/>
      <c r="BW43" s="248"/>
      <c r="BX43" s="248"/>
      <c r="BY43" s="248"/>
      <c r="BZ43" s="248"/>
      <c r="CA43" s="248"/>
      <c r="CB43" s="248"/>
      <c r="CC43" s="248"/>
      <c r="CD43" s="248"/>
      <c r="CE43" s="248"/>
      <c r="CF43" s="248"/>
      <c r="CG43" s="248"/>
      <c r="CH43" s="248"/>
      <c r="CI43" s="248"/>
      <c r="CJ43" s="248"/>
      <c r="CK43" s="248"/>
      <c r="CL43" s="248"/>
      <c r="CM43" s="248"/>
      <c r="CN43" s="248"/>
      <c r="CO43" s="248"/>
      <c r="CP43" s="248"/>
      <c r="CQ43" s="248"/>
      <c r="CR43" s="248"/>
      <c r="CS43" s="248"/>
      <c r="CT43" s="248"/>
      <c r="CU43" s="248"/>
      <c r="CV43" s="248"/>
      <c r="CW43" s="248"/>
      <c r="CX43" s="248"/>
      <c r="CY43" s="249"/>
    </row>
    <row r="44" spans="1:103" s="1" customFormat="1" ht="30" customHeight="1" x14ac:dyDescent="0.3">
      <c r="A44" s="2543"/>
      <c r="B44" s="2533"/>
      <c r="C44" s="151" t="s">
        <v>193</v>
      </c>
      <c r="D44" s="2532"/>
      <c r="E44" s="247">
        <v>1</v>
      </c>
      <c r="F44" s="248">
        <v>0.85</v>
      </c>
      <c r="G44" s="248">
        <v>1</v>
      </c>
      <c r="H44" s="248"/>
      <c r="I44" s="248">
        <v>1</v>
      </c>
      <c r="J44" s="248">
        <v>1</v>
      </c>
      <c r="K44" s="248">
        <v>1</v>
      </c>
      <c r="L44" s="248"/>
      <c r="M44" s="248"/>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248"/>
      <c r="BX44" s="248"/>
      <c r="BY44" s="248"/>
      <c r="BZ44" s="248"/>
      <c r="CA44" s="248"/>
      <c r="CB44" s="248"/>
      <c r="CC44" s="248"/>
      <c r="CD44" s="248"/>
      <c r="CE44" s="248"/>
      <c r="CF44" s="248"/>
      <c r="CG44" s="248"/>
      <c r="CH44" s="248"/>
      <c r="CI44" s="248"/>
      <c r="CJ44" s="248"/>
      <c r="CK44" s="248"/>
      <c r="CL44" s="248"/>
      <c r="CM44" s="248"/>
      <c r="CN44" s="248"/>
      <c r="CO44" s="248"/>
      <c r="CP44" s="248"/>
      <c r="CQ44" s="248"/>
      <c r="CR44" s="248"/>
      <c r="CS44" s="248"/>
      <c r="CT44" s="248"/>
      <c r="CU44" s="248"/>
      <c r="CV44" s="248"/>
      <c r="CW44" s="248"/>
      <c r="CX44" s="248"/>
      <c r="CY44" s="249"/>
    </row>
    <row r="45" spans="1:103" s="1" customFormat="1" ht="32.25" customHeight="1" x14ac:dyDescent="0.3">
      <c r="A45" s="2543"/>
      <c r="B45" s="2533" t="s">
        <v>241</v>
      </c>
      <c r="C45" s="151" t="s">
        <v>227</v>
      </c>
      <c r="D45" s="2531" t="s">
        <v>242</v>
      </c>
      <c r="E45" s="247">
        <v>1</v>
      </c>
      <c r="F45" s="248">
        <v>0.9</v>
      </c>
      <c r="G45" s="248">
        <v>0.85</v>
      </c>
      <c r="H45" s="248">
        <v>0.5</v>
      </c>
      <c r="I45" s="248">
        <v>1</v>
      </c>
      <c r="J45" s="248">
        <v>1</v>
      </c>
      <c r="K45" s="248">
        <v>1</v>
      </c>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248"/>
      <c r="BX45" s="248"/>
      <c r="BY45" s="248"/>
      <c r="BZ45" s="248"/>
      <c r="CA45" s="248"/>
      <c r="CB45" s="248"/>
      <c r="CC45" s="248"/>
      <c r="CD45" s="248"/>
      <c r="CE45" s="248"/>
      <c r="CF45" s="248"/>
      <c r="CG45" s="248"/>
      <c r="CH45" s="248"/>
      <c r="CI45" s="248"/>
      <c r="CJ45" s="248"/>
      <c r="CK45" s="248"/>
      <c r="CL45" s="248"/>
      <c r="CM45" s="248"/>
      <c r="CN45" s="248"/>
      <c r="CO45" s="248"/>
      <c r="CP45" s="248"/>
      <c r="CQ45" s="248"/>
      <c r="CR45" s="248"/>
      <c r="CS45" s="248"/>
      <c r="CT45" s="248"/>
      <c r="CU45" s="248"/>
      <c r="CV45" s="248"/>
      <c r="CW45" s="248"/>
      <c r="CX45" s="248"/>
      <c r="CY45" s="249"/>
    </row>
    <row r="46" spans="1:103" s="1" customFormat="1" ht="27.75" customHeight="1" x14ac:dyDescent="0.3">
      <c r="A46" s="2543"/>
      <c r="B46" s="2533"/>
      <c r="C46" s="151" t="s">
        <v>195</v>
      </c>
      <c r="D46" s="2532"/>
      <c r="E46" s="247"/>
      <c r="F46" s="248"/>
      <c r="G46" s="248"/>
      <c r="H46" s="248"/>
      <c r="I46" s="248"/>
      <c r="J46" s="248"/>
      <c r="K46" s="248"/>
      <c r="L46" s="248"/>
      <c r="M46" s="248"/>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248"/>
      <c r="BX46" s="248"/>
      <c r="BY46" s="248"/>
      <c r="BZ46" s="248"/>
      <c r="CA46" s="248"/>
      <c r="CB46" s="248"/>
      <c r="CC46" s="248"/>
      <c r="CD46" s="248"/>
      <c r="CE46" s="248"/>
      <c r="CF46" s="248"/>
      <c r="CG46" s="248"/>
      <c r="CH46" s="248"/>
      <c r="CI46" s="248"/>
      <c r="CJ46" s="248"/>
      <c r="CK46" s="248"/>
      <c r="CL46" s="248"/>
      <c r="CM46" s="248"/>
      <c r="CN46" s="248"/>
      <c r="CO46" s="248"/>
      <c r="CP46" s="248"/>
      <c r="CQ46" s="248"/>
      <c r="CR46" s="248"/>
      <c r="CS46" s="248"/>
      <c r="CT46" s="248"/>
      <c r="CU46" s="248"/>
      <c r="CV46" s="248"/>
      <c r="CW46" s="248"/>
      <c r="CX46" s="248"/>
      <c r="CY46" s="249"/>
    </row>
    <row r="47" spans="1:103" s="1" customFormat="1" ht="52.8" x14ac:dyDescent="0.3">
      <c r="A47" s="2543"/>
      <c r="B47" s="2533"/>
      <c r="C47" s="151" t="s">
        <v>193</v>
      </c>
      <c r="D47" s="152" t="s">
        <v>243</v>
      </c>
      <c r="E47" s="247"/>
      <c r="F47" s="248"/>
      <c r="G47" s="248">
        <v>0.9</v>
      </c>
      <c r="H47" s="248">
        <v>0.7</v>
      </c>
      <c r="I47" s="248">
        <v>1</v>
      </c>
      <c r="J47" s="248">
        <v>0.7</v>
      </c>
      <c r="K47" s="248">
        <v>0.7</v>
      </c>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48"/>
      <c r="BC47" s="248"/>
      <c r="BD47" s="248"/>
      <c r="BE47" s="248"/>
      <c r="BF47" s="248"/>
      <c r="BG47" s="248"/>
      <c r="BH47" s="248"/>
      <c r="BI47" s="248"/>
      <c r="BJ47" s="248"/>
      <c r="BK47" s="248"/>
      <c r="BL47" s="248"/>
      <c r="BM47" s="248"/>
      <c r="BN47" s="248"/>
      <c r="BO47" s="248"/>
      <c r="BP47" s="248"/>
      <c r="BQ47" s="248"/>
      <c r="BR47" s="248"/>
      <c r="BS47" s="248"/>
      <c r="BT47" s="248"/>
      <c r="BU47" s="248"/>
      <c r="BV47" s="248"/>
      <c r="BW47" s="248"/>
      <c r="BX47" s="248"/>
      <c r="BY47" s="248"/>
      <c r="BZ47" s="248"/>
      <c r="CA47" s="248"/>
      <c r="CB47" s="248"/>
      <c r="CC47" s="248"/>
      <c r="CD47" s="248"/>
      <c r="CE47" s="248"/>
      <c r="CF47" s="248"/>
      <c r="CG47" s="248"/>
      <c r="CH47" s="248"/>
      <c r="CI47" s="248"/>
      <c r="CJ47" s="248"/>
      <c r="CK47" s="248"/>
      <c r="CL47" s="248"/>
      <c r="CM47" s="248"/>
      <c r="CN47" s="248"/>
      <c r="CO47" s="248"/>
      <c r="CP47" s="248"/>
      <c r="CQ47" s="248"/>
      <c r="CR47" s="248"/>
      <c r="CS47" s="248"/>
      <c r="CT47" s="248"/>
      <c r="CU47" s="248"/>
      <c r="CV47" s="248"/>
      <c r="CW47" s="248"/>
      <c r="CX47" s="248"/>
      <c r="CY47" s="249"/>
    </row>
    <row r="48" spans="1:103" s="1" customFormat="1" ht="66" x14ac:dyDescent="0.3">
      <c r="A48" s="2543"/>
      <c r="B48" s="2533"/>
      <c r="C48" s="151" t="s">
        <v>193</v>
      </c>
      <c r="D48" s="152" t="s">
        <v>244</v>
      </c>
      <c r="E48" s="247"/>
      <c r="F48" s="248"/>
      <c r="G48" s="248">
        <v>0.8</v>
      </c>
      <c r="H48" s="248"/>
      <c r="I48" s="248">
        <v>1</v>
      </c>
      <c r="J48" s="248">
        <v>1</v>
      </c>
      <c r="K48" s="248">
        <v>1</v>
      </c>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9"/>
    </row>
    <row r="49" spans="1:103" s="1" customFormat="1" ht="52.8" x14ac:dyDescent="0.3">
      <c r="A49" s="2543"/>
      <c r="B49" s="1220" t="s">
        <v>245</v>
      </c>
      <c r="C49" s="151" t="s">
        <v>227</v>
      </c>
      <c r="D49" s="1221" t="s">
        <v>246</v>
      </c>
      <c r="E49" s="247"/>
      <c r="F49" s="248"/>
      <c r="G49" s="248">
        <v>0.9</v>
      </c>
      <c r="H49" s="248"/>
      <c r="I49" s="248">
        <v>1</v>
      </c>
      <c r="J49" s="248">
        <v>1</v>
      </c>
      <c r="K49" s="248">
        <v>1</v>
      </c>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9"/>
    </row>
    <row r="50" spans="1:103" s="1" customFormat="1" ht="45.75" customHeight="1" x14ac:dyDescent="0.3">
      <c r="A50" s="2543"/>
      <c r="B50" s="2533" t="s">
        <v>247</v>
      </c>
      <c r="C50" s="151" t="s">
        <v>193</v>
      </c>
      <c r="D50" s="152" t="s">
        <v>248</v>
      </c>
      <c r="E50" s="247"/>
      <c r="F50" s="248">
        <v>1</v>
      </c>
      <c r="G50" s="248">
        <v>1</v>
      </c>
      <c r="H50" s="248">
        <v>1</v>
      </c>
      <c r="I50" s="248">
        <v>1</v>
      </c>
      <c r="J50" s="248">
        <v>1</v>
      </c>
      <c r="K50" s="248">
        <v>1</v>
      </c>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9"/>
    </row>
    <row r="51" spans="1:103" s="1" customFormat="1" ht="38.25" customHeight="1" x14ac:dyDescent="0.3">
      <c r="A51" s="2543"/>
      <c r="B51" s="2533"/>
      <c r="C51" s="151" t="s">
        <v>187</v>
      </c>
      <c r="D51" s="152" t="s">
        <v>249</v>
      </c>
      <c r="E51" s="247"/>
      <c r="F51" s="248">
        <v>1</v>
      </c>
      <c r="G51" s="248">
        <v>1</v>
      </c>
      <c r="H51" s="248">
        <v>1</v>
      </c>
      <c r="I51" s="248">
        <v>0.95</v>
      </c>
      <c r="J51" s="248">
        <v>0.95</v>
      </c>
      <c r="K51" s="248">
        <v>0.95</v>
      </c>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9"/>
    </row>
    <row r="52" spans="1:103" s="1" customFormat="1" ht="51" customHeight="1" x14ac:dyDescent="0.3">
      <c r="A52" s="2543"/>
      <c r="B52" s="2533"/>
      <c r="C52" s="151" t="s">
        <v>187</v>
      </c>
      <c r="D52" s="152" t="s">
        <v>250</v>
      </c>
      <c r="E52" s="247"/>
      <c r="F52" s="248">
        <v>1</v>
      </c>
      <c r="G52" s="248">
        <v>1</v>
      </c>
      <c r="H52" s="248">
        <v>1</v>
      </c>
      <c r="I52" s="248">
        <v>0.9</v>
      </c>
      <c r="J52" s="248">
        <v>0.9</v>
      </c>
      <c r="K52" s="248">
        <v>0.9</v>
      </c>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9"/>
    </row>
    <row r="53" spans="1:103" s="1" customFormat="1" ht="63.75" customHeight="1" x14ac:dyDescent="0.3">
      <c r="A53" s="2543"/>
      <c r="B53" s="1222" t="s">
        <v>251</v>
      </c>
      <c r="C53" s="151" t="s">
        <v>195</v>
      </c>
      <c r="D53" s="153" t="s">
        <v>252</v>
      </c>
      <c r="E53" s="247"/>
      <c r="F53" s="248">
        <v>0.84</v>
      </c>
      <c r="G53" s="248">
        <v>1</v>
      </c>
      <c r="H53" s="248">
        <v>1</v>
      </c>
      <c r="I53" s="248">
        <v>0.9</v>
      </c>
      <c r="J53" s="248">
        <v>0.9</v>
      </c>
      <c r="K53" s="248">
        <v>0.9</v>
      </c>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8"/>
      <c r="BR53" s="248"/>
      <c r="BS53" s="248"/>
      <c r="BT53" s="248"/>
      <c r="BU53" s="248"/>
      <c r="BV53" s="248"/>
      <c r="BW53" s="248"/>
      <c r="BX53" s="248"/>
      <c r="BY53" s="248"/>
      <c r="BZ53" s="248"/>
      <c r="CA53" s="248"/>
      <c r="CB53" s="248"/>
      <c r="CC53" s="248"/>
      <c r="CD53" s="248"/>
      <c r="CE53" s="248"/>
      <c r="CF53" s="248"/>
      <c r="CG53" s="248"/>
      <c r="CH53" s="248"/>
      <c r="CI53" s="248"/>
      <c r="CJ53" s="248"/>
      <c r="CK53" s="248"/>
      <c r="CL53" s="248"/>
      <c r="CM53" s="248"/>
      <c r="CN53" s="248"/>
      <c r="CO53" s="248"/>
      <c r="CP53" s="248"/>
      <c r="CQ53" s="248"/>
      <c r="CR53" s="248"/>
      <c r="CS53" s="248"/>
      <c r="CT53" s="248"/>
      <c r="CU53" s="248"/>
      <c r="CV53" s="248"/>
      <c r="CW53" s="248"/>
      <c r="CX53" s="248"/>
      <c r="CY53" s="249"/>
    </row>
    <row r="54" spans="1:103" s="1" customFormat="1" ht="117" customHeight="1" x14ac:dyDescent="0.3">
      <c r="A54" s="2507" t="s">
        <v>253</v>
      </c>
      <c r="B54" s="1141" t="s">
        <v>254</v>
      </c>
      <c r="C54" s="154" t="s">
        <v>195</v>
      </c>
      <c r="D54" s="155" t="s">
        <v>255</v>
      </c>
      <c r="E54" s="156">
        <v>1</v>
      </c>
      <c r="F54" s="157"/>
      <c r="G54" s="157"/>
      <c r="H54" s="157">
        <v>1</v>
      </c>
      <c r="I54" s="157"/>
      <c r="J54" s="157"/>
      <c r="K54" s="157">
        <v>0.9</v>
      </c>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57"/>
      <c r="CW54" s="157"/>
      <c r="CX54" s="157"/>
      <c r="CY54" s="158"/>
    </row>
    <row r="55" spans="1:103" s="1" customFormat="1" ht="93.75" customHeight="1" x14ac:dyDescent="0.3">
      <c r="A55" s="2507"/>
      <c r="B55" s="2508" t="s">
        <v>256</v>
      </c>
      <c r="C55" s="154" t="s">
        <v>193</v>
      </c>
      <c r="D55" s="155" t="s">
        <v>257</v>
      </c>
      <c r="E55" s="156">
        <v>1</v>
      </c>
      <c r="F55" s="157"/>
      <c r="G55" s="157"/>
      <c r="H55" s="157">
        <v>1</v>
      </c>
      <c r="I55" s="157"/>
      <c r="J55" s="157"/>
      <c r="K55" s="157">
        <v>0.9</v>
      </c>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57"/>
      <c r="BS55" s="157"/>
      <c r="BT55" s="157"/>
      <c r="BU55" s="157"/>
      <c r="BV55" s="157"/>
      <c r="BW55" s="157"/>
      <c r="BX55" s="157"/>
      <c r="BY55" s="157"/>
      <c r="BZ55" s="157"/>
      <c r="CA55" s="157"/>
      <c r="CB55" s="157"/>
      <c r="CC55" s="157"/>
      <c r="CD55" s="157"/>
      <c r="CE55" s="157"/>
      <c r="CF55" s="157"/>
      <c r="CG55" s="157"/>
      <c r="CH55" s="157"/>
      <c r="CI55" s="157"/>
      <c r="CJ55" s="157"/>
      <c r="CK55" s="157"/>
      <c r="CL55" s="157"/>
      <c r="CM55" s="157"/>
      <c r="CN55" s="157"/>
      <c r="CO55" s="157"/>
      <c r="CP55" s="157"/>
      <c r="CQ55" s="157"/>
      <c r="CR55" s="157"/>
      <c r="CS55" s="157"/>
      <c r="CT55" s="157"/>
      <c r="CU55" s="157"/>
      <c r="CV55" s="157"/>
      <c r="CW55" s="157"/>
      <c r="CX55" s="157"/>
      <c r="CY55" s="158"/>
    </row>
    <row r="56" spans="1:103" s="1" customFormat="1" ht="51" customHeight="1" x14ac:dyDescent="0.3">
      <c r="A56" s="2507"/>
      <c r="B56" s="2508"/>
      <c r="C56" s="154" t="s">
        <v>193</v>
      </c>
      <c r="D56" s="155" t="s">
        <v>258</v>
      </c>
      <c r="E56" s="156">
        <v>1</v>
      </c>
      <c r="F56" s="157"/>
      <c r="G56" s="157"/>
      <c r="H56" s="157">
        <v>1</v>
      </c>
      <c r="I56" s="157"/>
      <c r="J56" s="157"/>
      <c r="K56" s="157">
        <v>0.9</v>
      </c>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57"/>
      <c r="CW56" s="157"/>
      <c r="CX56" s="157"/>
      <c r="CY56" s="158"/>
    </row>
    <row r="57" spans="1:103" s="1" customFormat="1" ht="71.25" customHeight="1" x14ac:dyDescent="0.3">
      <c r="A57" s="2507"/>
      <c r="B57" s="2508"/>
      <c r="C57" s="154" t="s">
        <v>195</v>
      </c>
      <c r="D57" s="155" t="s">
        <v>259</v>
      </c>
      <c r="E57" s="156">
        <v>1</v>
      </c>
      <c r="F57" s="157"/>
      <c r="G57" s="157"/>
      <c r="H57" s="157">
        <v>1</v>
      </c>
      <c r="I57" s="157"/>
      <c r="J57" s="157"/>
      <c r="K57" s="157">
        <v>0.9</v>
      </c>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57"/>
      <c r="BS57" s="157"/>
      <c r="BT57" s="157"/>
      <c r="BU57" s="157"/>
      <c r="BV57" s="157"/>
      <c r="BW57" s="157"/>
      <c r="BX57" s="157"/>
      <c r="BY57" s="157"/>
      <c r="BZ57" s="157"/>
      <c r="CA57" s="157"/>
      <c r="CB57" s="157"/>
      <c r="CC57" s="157"/>
      <c r="CD57" s="157"/>
      <c r="CE57" s="157"/>
      <c r="CF57" s="157"/>
      <c r="CG57" s="157"/>
      <c r="CH57" s="157"/>
      <c r="CI57" s="157"/>
      <c r="CJ57" s="157"/>
      <c r="CK57" s="157"/>
      <c r="CL57" s="157"/>
      <c r="CM57" s="157"/>
      <c r="CN57" s="157"/>
      <c r="CO57" s="157"/>
      <c r="CP57" s="157"/>
      <c r="CQ57" s="157"/>
      <c r="CR57" s="157"/>
      <c r="CS57" s="157"/>
      <c r="CT57" s="157"/>
      <c r="CU57" s="157"/>
      <c r="CV57" s="157"/>
      <c r="CW57" s="157"/>
      <c r="CX57" s="157"/>
      <c r="CY57" s="158"/>
    </row>
    <row r="58" spans="1:103" s="1" customFormat="1" ht="39.6" x14ac:dyDescent="0.3">
      <c r="A58" s="2507"/>
      <c r="B58" s="2508"/>
      <c r="C58" s="154" t="s">
        <v>195</v>
      </c>
      <c r="D58" s="155" t="s">
        <v>260</v>
      </c>
      <c r="E58" s="156">
        <v>1</v>
      </c>
      <c r="F58" s="157"/>
      <c r="G58" s="157"/>
      <c r="H58" s="157">
        <v>1</v>
      </c>
      <c r="I58" s="157"/>
      <c r="J58" s="157"/>
      <c r="K58" s="157">
        <v>0.9</v>
      </c>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c r="BX58" s="157"/>
      <c r="BY58" s="157"/>
      <c r="BZ58" s="157"/>
      <c r="CA58" s="157"/>
      <c r="CB58" s="157"/>
      <c r="CC58" s="157"/>
      <c r="CD58" s="157"/>
      <c r="CE58" s="157"/>
      <c r="CF58" s="157"/>
      <c r="CG58" s="157"/>
      <c r="CH58" s="157"/>
      <c r="CI58" s="157"/>
      <c r="CJ58" s="157"/>
      <c r="CK58" s="157"/>
      <c r="CL58" s="157"/>
      <c r="CM58" s="157"/>
      <c r="CN58" s="157"/>
      <c r="CO58" s="157"/>
      <c r="CP58" s="157"/>
      <c r="CQ58" s="157"/>
      <c r="CR58" s="157"/>
      <c r="CS58" s="157"/>
      <c r="CT58" s="157"/>
      <c r="CU58" s="157"/>
      <c r="CV58" s="157"/>
      <c r="CW58" s="157"/>
      <c r="CX58" s="157"/>
      <c r="CY58" s="158"/>
    </row>
    <row r="59" spans="1:103" s="1" customFormat="1" ht="42" customHeight="1" x14ac:dyDescent="0.3">
      <c r="A59" s="2507"/>
      <c r="B59" s="2508"/>
      <c r="C59" s="154" t="s">
        <v>195</v>
      </c>
      <c r="D59" s="155" t="s">
        <v>261</v>
      </c>
      <c r="E59" s="156">
        <v>1</v>
      </c>
      <c r="F59" s="157"/>
      <c r="G59" s="157"/>
      <c r="H59" s="157">
        <v>1</v>
      </c>
      <c r="I59" s="157"/>
      <c r="J59" s="157"/>
      <c r="K59" s="157">
        <v>0.9</v>
      </c>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57"/>
      <c r="BC59" s="157"/>
      <c r="BD59" s="157"/>
      <c r="BE59" s="157"/>
      <c r="BF59" s="157"/>
      <c r="BG59" s="157"/>
      <c r="BH59" s="157"/>
      <c r="BI59" s="157"/>
      <c r="BJ59" s="157"/>
      <c r="BK59" s="157"/>
      <c r="BL59" s="157"/>
      <c r="BM59" s="157"/>
      <c r="BN59" s="157"/>
      <c r="BO59" s="157"/>
      <c r="BP59" s="157"/>
      <c r="BQ59" s="157"/>
      <c r="BR59" s="157"/>
      <c r="BS59" s="157"/>
      <c r="BT59" s="157"/>
      <c r="BU59" s="157"/>
      <c r="BV59" s="157"/>
      <c r="BW59" s="157"/>
      <c r="BX59" s="157"/>
      <c r="BY59" s="157"/>
      <c r="BZ59" s="157"/>
      <c r="CA59" s="157"/>
      <c r="CB59" s="157"/>
      <c r="CC59" s="157"/>
      <c r="CD59" s="157"/>
      <c r="CE59" s="157"/>
      <c r="CF59" s="157"/>
      <c r="CG59" s="157"/>
      <c r="CH59" s="157"/>
      <c r="CI59" s="157"/>
      <c r="CJ59" s="157"/>
      <c r="CK59" s="157"/>
      <c r="CL59" s="157"/>
      <c r="CM59" s="157"/>
      <c r="CN59" s="157"/>
      <c r="CO59" s="157"/>
      <c r="CP59" s="157"/>
      <c r="CQ59" s="157"/>
      <c r="CR59" s="157"/>
      <c r="CS59" s="157"/>
      <c r="CT59" s="157"/>
      <c r="CU59" s="157"/>
      <c r="CV59" s="157"/>
      <c r="CW59" s="157"/>
      <c r="CX59" s="157"/>
      <c r="CY59" s="158"/>
    </row>
    <row r="60" spans="1:103" s="1" customFormat="1" ht="73.5" customHeight="1" x14ac:dyDescent="0.3">
      <c r="A60" s="2507"/>
      <c r="B60" s="159" t="s">
        <v>262</v>
      </c>
      <c r="C60" s="154" t="s">
        <v>193</v>
      </c>
      <c r="D60" s="155" t="s">
        <v>263</v>
      </c>
      <c r="E60" s="156">
        <v>1</v>
      </c>
      <c r="F60" s="157"/>
      <c r="G60" s="157"/>
      <c r="H60" s="157"/>
      <c r="I60" s="157"/>
      <c r="J60" s="157"/>
      <c r="K60" s="157">
        <v>0.9</v>
      </c>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7"/>
      <c r="BC60" s="157"/>
      <c r="BD60" s="157"/>
      <c r="BE60" s="157"/>
      <c r="BF60" s="157"/>
      <c r="BG60" s="157"/>
      <c r="BH60" s="157"/>
      <c r="BI60" s="157"/>
      <c r="BJ60" s="157"/>
      <c r="BK60" s="157"/>
      <c r="BL60" s="157"/>
      <c r="BM60" s="157"/>
      <c r="BN60" s="157"/>
      <c r="BO60" s="157"/>
      <c r="BP60" s="157"/>
      <c r="BQ60" s="157"/>
      <c r="BR60" s="157"/>
      <c r="BS60" s="157"/>
      <c r="BT60" s="157"/>
      <c r="BU60" s="157"/>
      <c r="BV60" s="157"/>
      <c r="BW60" s="157"/>
      <c r="BX60" s="157"/>
      <c r="BY60" s="157"/>
      <c r="BZ60" s="157"/>
      <c r="CA60" s="157"/>
      <c r="CB60" s="157"/>
      <c r="CC60" s="157"/>
      <c r="CD60" s="157"/>
      <c r="CE60" s="157"/>
      <c r="CF60" s="157"/>
      <c r="CG60" s="157"/>
      <c r="CH60" s="157"/>
      <c r="CI60" s="157"/>
      <c r="CJ60" s="157"/>
      <c r="CK60" s="157"/>
      <c r="CL60" s="157"/>
      <c r="CM60" s="157"/>
      <c r="CN60" s="157"/>
      <c r="CO60" s="157"/>
      <c r="CP60" s="157"/>
      <c r="CQ60" s="157"/>
      <c r="CR60" s="157"/>
      <c r="CS60" s="157"/>
      <c r="CT60" s="157"/>
      <c r="CU60" s="157"/>
      <c r="CV60" s="157"/>
      <c r="CW60" s="157"/>
      <c r="CX60" s="157"/>
      <c r="CY60" s="158"/>
    </row>
    <row r="61" spans="1:103" s="1" customFormat="1" ht="54.75" customHeight="1" x14ac:dyDescent="0.3">
      <c r="A61" s="2507"/>
      <c r="B61" s="159" t="s">
        <v>264</v>
      </c>
      <c r="C61" s="154" t="s">
        <v>195</v>
      </c>
      <c r="D61" s="155" t="s">
        <v>250</v>
      </c>
      <c r="E61" s="156"/>
      <c r="F61" s="157"/>
      <c r="G61" s="157"/>
      <c r="H61" s="157"/>
      <c r="I61" s="157"/>
      <c r="J61" s="157"/>
      <c r="K61" s="157">
        <v>0.9</v>
      </c>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c r="AL61" s="157"/>
      <c r="AM61" s="157"/>
      <c r="AN61" s="157"/>
      <c r="AO61" s="157"/>
      <c r="AP61" s="157"/>
      <c r="AQ61" s="157"/>
      <c r="AR61" s="157"/>
      <c r="AS61" s="157"/>
      <c r="AT61" s="157"/>
      <c r="AU61" s="157"/>
      <c r="AV61" s="157"/>
      <c r="AW61" s="157"/>
      <c r="AX61" s="157"/>
      <c r="AY61" s="157"/>
      <c r="AZ61" s="157"/>
      <c r="BA61" s="157"/>
      <c r="BB61" s="157"/>
      <c r="BC61" s="157"/>
      <c r="BD61" s="157"/>
      <c r="BE61" s="157"/>
      <c r="BF61" s="157"/>
      <c r="BG61" s="157"/>
      <c r="BH61" s="157"/>
      <c r="BI61" s="157"/>
      <c r="BJ61" s="157"/>
      <c r="BK61" s="157"/>
      <c r="BL61" s="157"/>
      <c r="BM61" s="157"/>
      <c r="BN61" s="157"/>
      <c r="BO61" s="157"/>
      <c r="BP61" s="157"/>
      <c r="BQ61" s="157"/>
      <c r="BR61" s="157"/>
      <c r="BS61" s="157"/>
      <c r="BT61" s="157"/>
      <c r="BU61" s="157"/>
      <c r="BV61" s="157"/>
      <c r="BW61" s="157"/>
      <c r="BX61" s="157"/>
      <c r="BY61" s="157"/>
      <c r="BZ61" s="157"/>
      <c r="CA61" s="157"/>
      <c r="CB61" s="157"/>
      <c r="CC61" s="157"/>
      <c r="CD61" s="157"/>
      <c r="CE61" s="157"/>
      <c r="CF61" s="157"/>
      <c r="CG61" s="157"/>
      <c r="CH61" s="157"/>
      <c r="CI61" s="157"/>
      <c r="CJ61" s="157"/>
      <c r="CK61" s="157"/>
      <c r="CL61" s="157"/>
      <c r="CM61" s="157"/>
      <c r="CN61" s="157"/>
      <c r="CO61" s="157"/>
      <c r="CP61" s="157"/>
      <c r="CQ61" s="157"/>
      <c r="CR61" s="157"/>
      <c r="CS61" s="157"/>
      <c r="CT61" s="157"/>
      <c r="CU61" s="157"/>
      <c r="CV61" s="157"/>
      <c r="CW61" s="157"/>
      <c r="CX61" s="157"/>
      <c r="CY61" s="158"/>
    </row>
    <row r="62" spans="1:103" s="1" customFormat="1" ht="56.25" customHeight="1" x14ac:dyDescent="0.3">
      <c r="A62" s="2507"/>
      <c r="B62" s="2508" t="s">
        <v>265</v>
      </c>
      <c r="C62" s="154" t="s">
        <v>195</v>
      </c>
      <c r="D62" s="155" t="s">
        <v>266</v>
      </c>
      <c r="E62" s="156">
        <v>1</v>
      </c>
      <c r="F62" s="157"/>
      <c r="G62" s="157"/>
      <c r="H62" s="157">
        <v>1</v>
      </c>
      <c r="I62" s="157"/>
      <c r="J62" s="157"/>
      <c r="K62" s="157">
        <v>0.9</v>
      </c>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c r="AL62" s="157"/>
      <c r="AM62" s="157"/>
      <c r="AN62" s="157"/>
      <c r="AO62" s="157"/>
      <c r="AP62" s="157"/>
      <c r="AQ62" s="157"/>
      <c r="AR62" s="157"/>
      <c r="AS62" s="157"/>
      <c r="AT62" s="157"/>
      <c r="AU62" s="157"/>
      <c r="AV62" s="157"/>
      <c r="AW62" s="157"/>
      <c r="AX62" s="157"/>
      <c r="AY62" s="157"/>
      <c r="AZ62" s="157"/>
      <c r="BA62" s="157"/>
      <c r="BB62" s="157"/>
      <c r="BC62" s="157"/>
      <c r="BD62" s="157"/>
      <c r="BE62" s="157"/>
      <c r="BF62" s="157"/>
      <c r="BG62" s="157"/>
      <c r="BH62" s="157"/>
      <c r="BI62" s="157"/>
      <c r="BJ62" s="157"/>
      <c r="BK62" s="157"/>
      <c r="BL62" s="157"/>
      <c r="BM62" s="157"/>
      <c r="BN62" s="157"/>
      <c r="BO62" s="157"/>
      <c r="BP62" s="157"/>
      <c r="BQ62" s="157"/>
      <c r="BR62" s="157"/>
      <c r="BS62" s="157"/>
      <c r="BT62" s="157"/>
      <c r="BU62" s="157"/>
      <c r="BV62" s="157"/>
      <c r="BW62" s="157"/>
      <c r="BX62" s="157"/>
      <c r="BY62" s="157"/>
      <c r="BZ62" s="157"/>
      <c r="CA62" s="157"/>
      <c r="CB62" s="157"/>
      <c r="CC62" s="157"/>
      <c r="CD62" s="157"/>
      <c r="CE62" s="157"/>
      <c r="CF62" s="157"/>
      <c r="CG62" s="157"/>
      <c r="CH62" s="157"/>
      <c r="CI62" s="157"/>
      <c r="CJ62" s="157"/>
      <c r="CK62" s="157"/>
      <c r="CL62" s="157"/>
      <c r="CM62" s="157"/>
      <c r="CN62" s="157"/>
      <c r="CO62" s="157"/>
      <c r="CP62" s="157"/>
      <c r="CQ62" s="157"/>
      <c r="CR62" s="157"/>
      <c r="CS62" s="157"/>
      <c r="CT62" s="157"/>
      <c r="CU62" s="157"/>
      <c r="CV62" s="157"/>
      <c r="CW62" s="157"/>
      <c r="CX62" s="157"/>
      <c r="CY62" s="158"/>
    </row>
    <row r="63" spans="1:103" s="1" customFormat="1" ht="58.5" customHeight="1" x14ac:dyDescent="0.3">
      <c r="A63" s="2507"/>
      <c r="B63" s="2508"/>
      <c r="C63" s="154" t="s">
        <v>195</v>
      </c>
      <c r="D63" s="155" t="s">
        <v>267</v>
      </c>
      <c r="E63" s="156">
        <v>1</v>
      </c>
      <c r="F63" s="157"/>
      <c r="G63" s="157"/>
      <c r="H63" s="157">
        <v>1</v>
      </c>
      <c r="I63" s="157"/>
      <c r="J63" s="157"/>
      <c r="K63" s="157">
        <v>0.9</v>
      </c>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c r="CP63" s="157"/>
      <c r="CQ63" s="157"/>
      <c r="CR63" s="157"/>
      <c r="CS63" s="157"/>
      <c r="CT63" s="157"/>
      <c r="CU63" s="157"/>
      <c r="CV63" s="157"/>
      <c r="CW63" s="157"/>
      <c r="CX63" s="157"/>
      <c r="CY63" s="158"/>
    </row>
    <row r="64" spans="1:103" s="1" customFormat="1" ht="58.5" customHeight="1" x14ac:dyDescent="0.3">
      <c r="A64" s="2509" t="s">
        <v>268</v>
      </c>
      <c r="B64" s="2511" t="s">
        <v>269</v>
      </c>
      <c r="C64" s="196" t="s">
        <v>187</v>
      </c>
      <c r="D64" s="195"/>
      <c r="E64" s="161"/>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c r="BT64" s="162"/>
      <c r="BU64" s="162"/>
      <c r="BV64" s="162"/>
      <c r="BW64" s="162"/>
      <c r="BX64" s="162"/>
      <c r="BY64" s="162"/>
      <c r="BZ64" s="162"/>
      <c r="CA64" s="162"/>
      <c r="CB64" s="162"/>
      <c r="CC64" s="162"/>
      <c r="CD64" s="162"/>
      <c r="CE64" s="162"/>
      <c r="CF64" s="162"/>
      <c r="CG64" s="162"/>
      <c r="CH64" s="162"/>
      <c r="CI64" s="162"/>
      <c r="CJ64" s="162"/>
      <c r="CK64" s="162"/>
      <c r="CL64" s="162"/>
      <c r="CM64" s="162"/>
      <c r="CN64" s="162"/>
      <c r="CO64" s="162"/>
      <c r="CP64" s="162"/>
      <c r="CQ64" s="162"/>
      <c r="CR64" s="162"/>
      <c r="CS64" s="162"/>
      <c r="CT64" s="162"/>
      <c r="CU64" s="162"/>
      <c r="CV64" s="162"/>
      <c r="CW64" s="162"/>
      <c r="CX64" s="162"/>
      <c r="CY64" s="163"/>
    </row>
    <row r="65" spans="1:105" s="1" customFormat="1" ht="58.5" customHeight="1" x14ac:dyDescent="0.3">
      <c r="A65" s="2510"/>
      <c r="B65" s="2512"/>
      <c r="C65" s="196" t="s">
        <v>193</v>
      </c>
      <c r="D65" s="195"/>
      <c r="E65" s="161"/>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c r="BT65" s="162"/>
      <c r="BU65" s="162"/>
      <c r="BV65" s="162"/>
      <c r="BW65" s="162"/>
      <c r="BX65" s="162"/>
      <c r="BY65" s="162"/>
      <c r="BZ65" s="162"/>
      <c r="CA65" s="162"/>
      <c r="CB65" s="162"/>
      <c r="CC65" s="162"/>
      <c r="CD65" s="162"/>
      <c r="CE65" s="162"/>
      <c r="CF65" s="162"/>
      <c r="CG65" s="162"/>
      <c r="CH65" s="162"/>
      <c r="CI65" s="162"/>
      <c r="CJ65" s="162"/>
      <c r="CK65" s="162"/>
      <c r="CL65" s="162"/>
      <c r="CM65" s="162"/>
      <c r="CN65" s="162"/>
      <c r="CO65" s="162"/>
      <c r="CP65" s="162"/>
      <c r="CQ65" s="162"/>
      <c r="CR65" s="162"/>
      <c r="CS65" s="162"/>
      <c r="CT65" s="162"/>
      <c r="CU65" s="162"/>
      <c r="CV65" s="162"/>
      <c r="CW65" s="162"/>
      <c r="CX65" s="162"/>
      <c r="CY65" s="163"/>
    </row>
    <row r="66" spans="1:105" s="1" customFormat="1" ht="58.5" customHeight="1" x14ac:dyDescent="0.3">
      <c r="A66" s="2510"/>
      <c r="B66" s="2512"/>
      <c r="C66" s="196" t="s">
        <v>195</v>
      </c>
      <c r="D66" s="195"/>
      <c r="E66" s="161"/>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c r="BT66" s="162"/>
      <c r="BU66" s="162"/>
      <c r="BV66" s="162"/>
      <c r="BW66" s="162"/>
      <c r="BX66" s="162"/>
      <c r="BY66" s="162"/>
      <c r="BZ66" s="162"/>
      <c r="CA66" s="162"/>
      <c r="CB66" s="162"/>
      <c r="CC66" s="162"/>
      <c r="CD66" s="162"/>
      <c r="CE66" s="162"/>
      <c r="CF66" s="162"/>
      <c r="CG66" s="162"/>
      <c r="CH66" s="162"/>
      <c r="CI66" s="162"/>
      <c r="CJ66" s="162"/>
      <c r="CK66" s="162"/>
      <c r="CL66" s="162"/>
      <c r="CM66" s="162"/>
      <c r="CN66" s="162"/>
      <c r="CO66" s="162"/>
      <c r="CP66" s="162"/>
      <c r="CQ66" s="162"/>
      <c r="CR66" s="162"/>
      <c r="CS66" s="162"/>
      <c r="CT66" s="162"/>
      <c r="CU66" s="162"/>
      <c r="CV66" s="162"/>
      <c r="CW66" s="162"/>
      <c r="CX66" s="162"/>
      <c r="CY66" s="163"/>
    </row>
    <row r="67" spans="1:105" s="1" customFormat="1" ht="56.25" customHeight="1" x14ac:dyDescent="0.3">
      <c r="A67" s="2510"/>
      <c r="B67" s="2512"/>
      <c r="C67" s="196" t="s">
        <v>187</v>
      </c>
      <c r="D67" s="164"/>
      <c r="E67" s="161"/>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c r="BT67" s="162"/>
      <c r="BU67" s="162"/>
      <c r="BV67" s="162"/>
      <c r="BW67" s="162"/>
      <c r="BX67" s="162"/>
      <c r="BY67" s="162"/>
      <c r="BZ67" s="162"/>
      <c r="CA67" s="162"/>
      <c r="CB67" s="162"/>
      <c r="CC67" s="162"/>
      <c r="CD67" s="162"/>
      <c r="CE67" s="162"/>
      <c r="CF67" s="162"/>
      <c r="CG67" s="162"/>
      <c r="CH67" s="162"/>
      <c r="CI67" s="162"/>
      <c r="CJ67" s="162"/>
      <c r="CK67" s="162"/>
      <c r="CL67" s="162"/>
      <c r="CM67" s="162"/>
      <c r="CN67" s="162"/>
      <c r="CO67" s="162"/>
      <c r="CP67" s="162"/>
      <c r="CQ67" s="162"/>
      <c r="CR67" s="162"/>
      <c r="CS67" s="162"/>
      <c r="CT67" s="162"/>
      <c r="CU67" s="162"/>
      <c r="CV67" s="162"/>
      <c r="CW67" s="162"/>
      <c r="CX67" s="162"/>
      <c r="CY67" s="163"/>
    </row>
    <row r="68" spans="1:105" s="1" customFormat="1" ht="56.25" customHeight="1" x14ac:dyDescent="0.3">
      <c r="A68" s="2510"/>
      <c r="B68" s="2512"/>
      <c r="C68" s="196" t="s">
        <v>195</v>
      </c>
      <c r="D68" s="1223"/>
      <c r="E68" s="161"/>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3"/>
    </row>
    <row r="69" spans="1:105" s="1" customFormat="1" ht="56.25" customHeight="1" thickBot="1" x14ac:dyDescent="0.35">
      <c r="A69" s="2510"/>
      <c r="B69" s="2513"/>
      <c r="C69" s="196" t="s">
        <v>187</v>
      </c>
      <c r="D69" s="166"/>
      <c r="E69" s="167"/>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9"/>
    </row>
    <row r="70" spans="1:105" s="170" customFormat="1" ht="17.399999999999999" x14ac:dyDescent="0.3">
      <c r="C70" s="171"/>
      <c r="E70" s="172"/>
      <c r="F70" s="172"/>
      <c r="G70" s="172"/>
      <c r="H70" s="172"/>
      <c r="I70" s="172"/>
      <c r="J70" s="172"/>
      <c r="K70" s="172"/>
      <c r="L70" s="172"/>
      <c r="M70" s="172"/>
      <c r="N70" s="172"/>
      <c r="O70" s="172"/>
      <c r="P70" s="172"/>
      <c r="Q70" s="172"/>
      <c r="R70" s="172"/>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c r="AW70" s="173"/>
      <c r="AX70" s="173"/>
      <c r="AY70" s="173"/>
      <c r="AZ70" s="173"/>
      <c r="BA70" s="173"/>
      <c r="BB70" s="173"/>
      <c r="BC70" s="173"/>
      <c r="BD70" s="173"/>
      <c r="BE70" s="173"/>
    </row>
    <row r="71" spans="1:105" s="176" customFormat="1" ht="17.399999999999999" x14ac:dyDescent="0.3">
      <c r="C71" s="1572"/>
      <c r="D71" s="1573" t="s">
        <v>270</v>
      </c>
      <c r="E71" s="1574"/>
      <c r="F71" s="1574"/>
      <c r="G71" s="1575"/>
      <c r="H71" s="1575"/>
      <c r="I71" s="1575"/>
      <c r="J71" s="1575"/>
      <c r="K71" s="1575"/>
      <c r="L71" s="1575"/>
      <c r="M71" s="1575"/>
      <c r="N71" s="1575"/>
      <c r="O71" s="1575"/>
      <c r="P71" s="1575"/>
      <c r="Q71" s="1575"/>
      <c r="R71" s="1575"/>
      <c r="S71" s="1576"/>
      <c r="T71" s="1577"/>
      <c r="U71" s="1577"/>
      <c r="V71" s="1577"/>
      <c r="W71" s="1577"/>
      <c r="X71" s="1577"/>
      <c r="Y71" s="1577"/>
      <c r="Z71" s="1577"/>
      <c r="AA71" s="1577"/>
      <c r="AB71" s="1577"/>
      <c r="AC71" s="1577"/>
      <c r="AD71" s="1577"/>
      <c r="AE71" s="1577"/>
      <c r="AF71" s="1577"/>
      <c r="AG71" s="1577"/>
      <c r="AH71" s="1577"/>
      <c r="AI71" s="1577"/>
      <c r="AJ71" s="1577"/>
      <c r="AK71" s="1577"/>
      <c r="AL71" s="1577"/>
      <c r="AM71" s="1577"/>
      <c r="AN71" s="1577"/>
      <c r="AO71" s="1577"/>
      <c r="AP71" s="1577"/>
      <c r="AQ71" s="1577"/>
      <c r="AR71" s="1577"/>
      <c r="AS71" s="1577"/>
      <c r="AT71" s="1577"/>
      <c r="AU71" s="1577"/>
      <c r="AV71" s="1577"/>
      <c r="AW71" s="1577"/>
      <c r="AX71" s="1577"/>
      <c r="AY71" s="1577"/>
      <c r="AZ71" s="1577"/>
      <c r="BA71" s="1577"/>
      <c r="BB71" s="1577"/>
      <c r="BC71" s="1577"/>
      <c r="BD71" s="1577"/>
      <c r="BE71" s="1577"/>
    </row>
    <row r="72" spans="1:105" s="176" customFormat="1" ht="17.399999999999999" x14ac:dyDescent="0.3">
      <c r="C72" s="1572"/>
      <c r="D72" s="174" t="s">
        <v>271</v>
      </c>
      <c r="E72" s="175">
        <f>IFERROR(INDEX(TablaMaxCalifPos[],MATCH(E16,HALLAZGOS,0),MATCH($B$8,TablaMaxCalifPos[#Headers],0))*IFERROR(SEARCH("*FISCAL*",E16,1)*(1-(E17/E9)),1)*(AVERAGEIF($C$22:$C$69,"*EFICACIA*",E22:E69)),"")</f>
        <v>0.69363636363636361</v>
      </c>
      <c r="F72" s="175">
        <f>IFERROR(INDEX(TablaMaxCalifPos[],MATCH(F16,HALLAZGOS,0),MATCH($B$8,TablaMaxCalifPos[#Headers],0))*IFERROR(SEARCH("*FISCAL*",F16,1)*(1-(F17/F9)),1)*(AVERAGEIF($C$22:$C$69,"*EFICACIA*",F22:F69)),"")</f>
        <v>0.76888888888888896</v>
      </c>
      <c r="G72" s="175">
        <f>IFERROR(INDEX(TablaMaxCalifPos[],MATCH(G16,HALLAZGOS,0),MATCH($B$8,TablaMaxCalifPos[#Headers],0))*IFERROR(SEARCH("*FISCAL*",G16,1)*(1-(G17/G9)),1)*(AVERAGEIF($C$22:$C$69,"*EFICACIA*",G22:G69)),"")</f>
        <v>0.19568819031435852</v>
      </c>
      <c r="H72" s="175">
        <f>IFERROR(INDEX(TablaMaxCalifPos[],MATCH(H16,HALLAZGOS,0),MATCH($B$8,TablaMaxCalifPos[#Headers],0))*IFERROR(SEARCH("*FISCAL*",H16,1)*(1-(H17/H9)),1)*(AVERAGEIF($C$22:$C$69,"*EFICACIA*",H22:H69)),"")</f>
        <v>0.85</v>
      </c>
      <c r="I72" s="175">
        <f>IFERROR(INDEX(TablaMaxCalifPos[],MATCH(I16,HALLAZGOS,0),MATCH($B$8,TablaMaxCalifPos[#Headers],0))*IFERROR(SEARCH("*FISCAL*",I16,1)*(1-(I17/I9)),1)*(AVERAGEIF($C$22:$C$69,"*EFICACIA*",I22:I69)),"")</f>
        <v>1</v>
      </c>
      <c r="J72" s="175">
        <f>IFERROR(INDEX(TablaMaxCalifPos[],MATCH(J16,HALLAZGOS,0),MATCH($B$8,TablaMaxCalifPos[#Headers],0))*IFERROR(SEARCH("*FISCAL*",J16,1)*(1-(J17/J9)),1)*(AVERAGEIF($C$22:$C$69,"*EFICACIA*",J22:J69)),"")</f>
        <v>0.71272727272727288</v>
      </c>
      <c r="K72" s="175">
        <f>IFERROR(INDEX(TablaMaxCalifPos[],MATCH(K16,HALLAZGOS,0),MATCH($B$8,TablaMaxCalifPos[#Headers],0))*IFERROR(SEARCH("*FISCAL*",K16,1)*(1-(K17/K9)),1)*(AVERAGEIF($C$22:$C$69,"*EFICACIA*",K22:K69)),"")</f>
        <v>0.80357142857142871</v>
      </c>
      <c r="L72" s="175" t="str">
        <f>IFERROR(INDEX(TablaMaxCalifPos[],MATCH(L16,HALLAZGOS,0),MATCH($B$8,TablaMaxCalifPos[#Headers],0))*IFERROR(SEARCH("*FISCAL*",L16,1)*(1-(L17/L9)),1)*(AVERAGEIF($C$22:$C$69,"*EFICACIA*",L22:L69)),"")</f>
        <v/>
      </c>
      <c r="M72" s="175" t="str">
        <f>IFERROR(INDEX(TablaMaxCalifPos[],MATCH(M16,HALLAZGOS,0),MATCH($B$8,TablaMaxCalifPos[#Headers],0))*IFERROR(SEARCH("*FISCAL*",M16,1)*(1-(M17/M9)),1)*(AVERAGEIF($C$22:$C$69,"*EFICACIA*",M22:M69)),"")</f>
        <v/>
      </c>
      <c r="N72" s="175" t="str">
        <f>IFERROR(INDEX(TablaMaxCalifPos[],MATCH(N16,HALLAZGOS,0),MATCH($B$8,TablaMaxCalifPos[#Headers],0))*IFERROR(SEARCH("*FISCAL*",N16,1)*(1-(N17/N9)),1)*(AVERAGEIF($C$22:$C$69,"*EFICACIA*",N22:N69)),"")</f>
        <v/>
      </c>
      <c r="O72" s="175" t="str">
        <f>IFERROR(INDEX(TablaMaxCalifPos[],MATCH(O16,HALLAZGOS,0),MATCH($B$8,TablaMaxCalifPos[#Headers],0))*IFERROR(SEARCH("*FISCAL*",O16,1)*(1-(O17/O9)),1)*(AVERAGEIF($C$22:$C$69,"*EFICACIA*",O22:O69)),"")</f>
        <v/>
      </c>
      <c r="P72" s="175" t="str">
        <f>IFERROR(INDEX(TablaMaxCalifPos[],MATCH(P16,HALLAZGOS,0),MATCH($B$8,TablaMaxCalifPos[#Headers],0))*IFERROR(SEARCH("*FISCAL*",P16,1)*(1-(P17/P9)),1)*(AVERAGEIF($C$22:$C$69,"*EFICACIA*",P22:P69)),"")</f>
        <v/>
      </c>
      <c r="Q72" s="175" t="str">
        <f>IFERROR(INDEX(TablaMaxCalifPos[],MATCH(Q16,HALLAZGOS,0),MATCH($B$8,TablaMaxCalifPos[#Headers],0))*IFERROR(SEARCH("*FISCAL*",Q16,1)*(1-(Q17/Q9)),1)*(AVERAGEIF($C$22:$C$69,"*EFICACIA*",Q22:Q69)),"")</f>
        <v/>
      </c>
      <c r="R72" s="175" t="str">
        <f>IFERROR(INDEX(TablaMaxCalifPos[],MATCH(R16,HALLAZGOS,0),MATCH($B$8,TablaMaxCalifPos[#Headers],0))*IFERROR(SEARCH("*FISCAL*",R16,1)*(1-(R17/R9)),1)*(AVERAGEIF($C$22:$C$69,"*EFICACIA*",R22:R69)),"")</f>
        <v/>
      </c>
      <c r="S72" s="175" t="str">
        <f>IFERROR(INDEX(TablaMaxCalifPos[],MATCH(S16,HALLAZGOS,0),MATCH($B$8,TablaMaxCalifPos[#Headers],0))*IFERROR(SEARCH("*FISCAL*",S16,1)*(1-(S17/S9)),1)*(AVERAGEIF($C$22:$C$69,"*EFICACIA*",S22:S69)),"")</f>
        <v/>
      </c>
      <c r="T72" s="175" t="str">
        <f>IFERROR(INDEX(TablaMaxCalifPos[],MATCH(T16,HALLAZGOS,0),MATCH($B$8,TablaMaxCalifPos[#Headers],0))*IFERROR(SEARCH("*FISCAL*",T16,1)*(1-(T17/T9)),1)*(AVERAGEIF($C$22:$C$69,"*EFICACIA*",T22:T69)),"")</f>
        <v/>
      </c>
      <c r="U72" s="175" t="str">
        <f>IFERROR(INDEX(TablaMaxCalifPos[],MATCH(U16,HALLAZGOS,0),MATCH($B$8,TablaMaxCalifPos[#Headers],0))*IFERROR(SEARCH("*FISCAL*",U16,1)*(1-(U17/U9)),1)*(AVERAGEIF($C$22:$C$69,"*EFICACIA*",U22:U69)),"")</f>
        <v/>
      </c>
      <c r="V72" s="175" t="str">
        <f>IFERROR(INDEX(TablaMaxCalifPos[],MATCH(V16,HALLAZGOS,0),MATCH($B$8,TablaMaxCalifPos[#Headers],0))*IFERROR(SEARCH("*FISCAL*",V16,1)*(1-(V17/V9)),1)*(AVERAGEIF($C$22:$C$69,"*EFICACIA*",V22:V69)),"")</f>
        <v/>
      </c>
      <c r="W72" s="175" t="str">
        <f>IFERROR(INDEX(TablaMaxCalifPos[],MATCH(W16,HALLAZGOS,0),MATCH($B$8,TablaMaxCalifPos[#Headers],0))*IFERROR(SEARCH("*FISCAL*",W16,1)*(1-(W17/W9)),1)*(AVERAGEIF($C$22:$C$69,"*EFICACIA*",W22:W69)),"")</f>
        <v/>
      </c>
      <c r="X72" s="175" t="str">
        <f>IFERROR(INDEX(TablaMaxCalifPos[],MATCH(X16,HALLAZGOS,0),MATCH($B$8,TablaMaxCalifPos[#Headers],0))*IFERROR(SEARCH("*FISCAL*",X16,1)*(1-(X17/X9)),1)*(AVERAGEIF($C$22:$C$69,"*EFICACIA*",X22:X69)),"")</f>
        <v/>
      </c>
      <c r="Y72" s="175" t="str">
        <f>IFERROR(INDEX(TablaMaxCalifPos[],MATCH(Y16,HALLAZGOS,0),MATCH($B$8,TablaMaxCalifPos[#Headers],0))*IFERROR(SEARCH("*FISCAL*",Y16,1)*(1-(Y17/Y9)),1)*(AVERAGEIF($C$22:$C$69,"*EFICACIA*",Y22:Y69)),"")</f>
        <v/>
      </c>
      <c r="Z72" s="175" t="str">
        <f>IFERROR(INDEX(TablaMaxCalifPos[],MATCH(Z16,HALLAZGOS,0),MATCH($B$8,TablaMaxCalifPos[#Headers],0))*IFERROR(SEARCH("*FISCAL*",Z16,1)*(1-(Z17/Z9)),1)*(AVERAGEIF($C$22:$C$69,"*EFICACIA*",Z22:Z69)),"")</f>
        <v/>
      </c>
      <c r="AA72" s="175" t="str">
        <f>IFERROR(INDEX(TablaMaxCalifPos[],MATCH(AA16,HALLAZGOS,0),MATCH($B$8,TablaMaxCalifPos[#Headers],0))*IFERROR(SEARCH("*FISCAL*",AA16,1)*(1-(AA17/AA9)),1)*(AVERAGEIF($C$22:$C$69,"*EFICACIA*",AA22:AA69)),"")</f>
        <v/>
      </c>
      <c r="AB72" s="175" t="str">
        <f>IFERROR(INDEX(TablaMaxCalifPos[],MATCH(AB16,HALLAZGOS,0),MATCH($B$8,TablaMaxCalifPos[#Headers],0))*IFERROR(SEARCH("*FISCAL*",AB16,1)*(1-(AB17/AB9)),1)*(AVERAGEIF($C$22:$C$69,"*EFICACIA*",AB22:AB69)),"")</f>
        <v/>
      </c>
      <c r="AC72" s="175" t="str">
        <f>IFERROR(INDEX(TablaMaxCalifPos[],MATCH(AC16,HALLAZGOS,0),MATCH($B$8,TablaMaxCalifPos[#Headers],0))*IFERROR(SEARCH("*FISCAL*",AC16,1)*(1-(AC17/AC9)),1)*(AVERAGEIF($C$22:$C$69,"*EFICACIA*",AC22:AC69)),"")</f>
        <v/>
      </c>
      <c r="AD72" s="175" t="str">
        <f>IFERROR(INDEX(TablaMaxCalifPos[],MATCH(AD16,HALLAZGOS,0),MATCH($B$8,TablaMaxCalifPos[#Headers],0))*IFERROR(SEARCH("*FISCAL*",AD16,1)*(1-(AD17/AD9)),1)*(AVERAGEIF($C$22:$C$69,"*EFICACIA*",AD22:AD69)),"")</f>
        <v/>
      </c>
      <c r="AE72" s="175" t="str">
        <f>IFERROR(INDEX(TablaMaxCalifPos[],MATCH(AE16,HALLAZGOS,0),MATCH($B$8,TablaMaxCalifPos[#Headers],0))*IFERROR(SEARCH("*FISCAL*",AE16,1)*(1-(AE17/AE9)),1)*(AVERAGEIF($C$22:$C$69,"*EFICACIA*",AE22:AE69)),"")</f>
        <v/>
      </c>
      <c r="AF72" s="175" t="str">
        <f>IFERROR(INDEX(TablaMaxCalifPos[],MATCH(AF16,HALLAZGOS,0),MATCH($B$8,TablaMaxCalifPos[#Headers],0))*IFERROR(SEARCH("*FISCAL*",AF16,1)*(1-(AF17/AF9)),1)*(AVERAGEIF($C$22:$C$69,"*EFICACIA*",AF22:AF69)),"")</f>
        <v/>
      </c>
      <c r="AG72" s="175" t="str">
        <f>IFERROR(INDEX(TablaMaxCalifPos[],MATCH(AG16,HALLAZGOS,0),MATCH($B$8,TablaMaxCalifPos[#Headers],0))*IFERROR(SEARCH("*FISCAL*",AG16,1)*(1-(AG17/AG9)),1)*(AVERAGEIF($C$22:$C$69,"*EFICACIA*",AG22:AG69)),"")</f>
        <v/>
      </c>
      <c r="AH72" s="175" t="str">
        <f>IFERROR(INDEX(TablaMaxCalifPos[],MATCH(AH16,HALLAZGOS,0),MATCH($B$8,TablaMaxCalifPos[#Headers],0))*IFERROR(SEARCH("*FISCAL*",AH16,1)*(1-(AH17/AH9)),1)*(AVERAGEIF($C$22:$C$69,"*EFICACIA*",AH22:AH69)),"")</f>
        <v/>
      </c>
      <c r="AI72" s="175" t="str">
        <f>IFERROR(INDEX(TablaMaxCalifPos[],MATCH(AI16,HALLAZGOS,0),MATCH($B$8,TablaMaxCalifPos[#Headers],0))*IFERROR(SEARCH("*FISCAL*",AI16,1)*(1-(AI17/AI9)),1)*(AVERAGEIF($C$22:$C$69,"*EFICACIA*",AI22:AI69)),"")</f>
        <v/>
      </c>
      <c r="AJ72" s="175" t="str">
        <f>IFERROR(INDEX(TablaMaxCalifPos[],MATCH(AJ16,HALLAZGOS,0),MATCH($B$8,TablaMaxCalifPos[#Headers],0))*IFERROR(SEARCH("*FISCAL*",AJ16,1)*(1-(AJ17/AJ9)),1)*(AVERAGEIF($C$22:$C$69,"*EFICACIA*",AJ22:AJ69)),"")</f>
        <v/>
      </c>
      <c r="AK72" s="175" t="str">
        <f>IFERROR(INDEX(TablaMaxCalifPos[],MATCH(AK16,HALLAZGOS,0),MATCH($B$8,TablaMaxCalifPos[#Headers],0))*IFERROR(SEARCH("*FISCAL*",AK16,1)*(1-(AK17/AK9)),1)*(AVERAGEIF($C$22:$C$69,"*EFICACIA*",AK22:AK69)),"")</f>
        <v/>
      </c>
      <c r="AL72" s="175" t="str">
        <f>IFERROR(INDEX(TablaMaxCalifPos[],MATCH(AL16,HALLAZGOS,0),MATCH($B$8,TablaMaxCalifPos[#Headers],0))*IFERROR(SEARCH("*FISCAL*",AL16,1)*(1-(AL17/AL9)),1)*(AVERAGEIF($C$22:$C$69,"*EFICACIA*",AL22:AL69)),"")</f>
        <v/>
      </c>
      <c r="AM72" s="175" t="str">
        <f>IFERROR(INDEX(TablaMaxCalifPos[],MATCH(AM16,HALLAZGOS,0),MATCH($B$8,TablaMaxCalifPos[#Headers],0))*IFERROR(SEARCH("*FISCAL*",AM16,1)*(1-(AM17/AM9)),1)*(AVERAGEIF($C$22:$C$69,"*EFICACIA*",AM22:AM69)),"")</f>
        <v/>
      </c>
      <c r="AN72" s="175" t="str">
        <f>IFERROR(INDEX(TablaMaxCalifPos[],MATCH(AN16,HALLAZGOS,0),MATCH($B$8,TablaMaxCalifPos[#Headers],0))*IFERROR(SEARCH("*FISCAL*",AN16,1)*(1-(AN17/AN9)),1)*(AVERAGEIF($C$22:$C$69,"*EFICACIA*",AN22:AN69)),"")</f>
        <v/>
      </c>
      <c r="AO72" s="175" t="str">
        <f>IFERROR(INDEX(TablaMaxCalifPos[],MATCH(AO16,HALLAZGOS,0),MATCH($B$8,TablaMaxCalifPos[#Headers],0))*IFERROR(SEARCH("*FISCAL*",AO16,1)*(1-(AO17/AO9)),1)*(AVERAGEIF($C$22:$C$69,"*EFICACIA*",AO22:AO69)),"")</f>
        <v/>
      </c>
      <c r="AP72" s="175" t="str">
        <f>IFERROR(INDEX(TablaMaxCalifPos[],MATCH(AP16,HALLAZGOS,0),MATCH($B$8,TablaMaxCalifPos[#Headers],0))*IFERROR(SEARCH("*FISCAL*",AP16,1)*(1-(AP17/AP9)),1)*(AVERAGEIF($C$22:$C$69,"*EFICACIA*",AP22:AP69)),"")</f>
        <v/>
      </c>
      <c r="AQ72" s="175" t="str">
        <f>IFERROR(INDEX(TablaMaxCalifPos[],MATCH(AQ16,HALLAZGOS,0),MATCH($B$8,TablaMaxCalifPos[#Headers],0))*IFERROR(SEARCH("*FISCAL*",AQ16,1)*(1-(AQ17/AQ9)),1)*(AVERAGEIF($C$22:$C$69,"*EFICACIA*",AQ22:AQ69)),"")</f>
        <v/>
      </c>
      <c r="AR72" s="175" t="str">
        <f>IFERROR(INDEX(TablaMaxCalifPos[],MATCH(AR16,HALLAZGOS,0),MATCH($B$8,TablaMaxCalifPos[#Headers],0))*IFERROR(SEARCH("*FISCAL*",AR16,1)*(1-(AR17/AR9)),1)*(AVERAGEIF($C$22:$C$69,"*EFICACIA*",AR22:AR69)),"")</f>
        <v/>
      </c>
      <c r="AS72" s="175" t="str">
        <f>IFERROR(INDEX(TablaMaxCalifPos[],MATCH(AS16,HALLAZGOS,0),MATCH($B$8,TablaMaxCalifPos[#Headers],0))*IFERROR(SEARCH("*FISCAL*",AS16,1)*(1-(AS17/AS9)),1)*(AVERAGEIF($C$22:$C$69,"*EFICACIA*",AS22:AS69)),"")</f>
        <v/>
      </c>
      <c r="AT72" s="175" t="str">
        <f>IFERROR(INDEX(TablaMaxCalifPos[],MATCH(AT16,HALLAZGOS,0),MATCH($B$8,TablaMaxCalifPos[#Headers],0))*IFERROR(SEARCH("*FISCAL*",AT16,1)*(1-(AT17/AT9)),1)*(AVERAGEIF($C$22:$C$69,"*EFICACIA*",AT22:AT69)),"")</f>
        <v/>
      </c>
      <c r="AU72" s="175" t="str">
        <f>IFERROR(INDEX(TablaMaxCalifPos[],MATCH(AU16,HALLAZGOS,0),MATCH($B$8,TablaMaxCalifPos[#Headers],0))*IFERROR(SEARCH("*FISCAL*",AU16,1)*(1-(AU17/AU9)),1)*(AVERAGEIF($C$22:$C$69,"*EFICACIA*",AU22:AU69)),"")</f>
        <v/>
      </c>
      <c r="AV72" s="175" t="str">
        <f>IFERROR(INDEX(TablaMaxCalifPos[],MATCH(AV16,HALLAZGOS,0),MATCH($B$8,TablaMaxCalifPos[#Headers],0))*IFERROR(SEARCH("*FISCAL*",AV16,1)*(1-(AV17/AV9)),1)*(AVERAGEIF($C$22:$C$69,"*EFICACIA*",AV22:AV69)),"")</f>
        <v/>
      </c>
      <c r="AW72" s="175" t="str">
        <f>IFERROR(INDEX(TablaMaxCalifPos[],MATCH(AW16,HALLAZGOS,0),MATCH($B$8,TablaMaxCalifPos[#Headers],0))*IFERROR(SEARCH("*FISCAL*",AW16,1)*(1-(AW17/AW9)),1)*(AVERAGEIF($C$22:$C$69,"*EFICACIA*",AW22:AW69)),"")</f>
        <v/>
      </c>
      <c r="AX72" s="175" t="str">
        <f>IFERROR(INDEX(TablaMaxCalifPos[],MATCH(AX16,HALLAZGOS,0),MATCH($B$8,TablaMaxCalifPos[#Headers],0))*IFERROR(SEARCH("*FISCAL*",AX16,1)*(1-(AX17/AX9)),1)*(AVERAGEIF($C$22:$C$69,"*EFICACIA*",AX22:AX69)),"")</f>
        <v/>
      </c>
      <c r="AY72" s="175" t="str">
        <f>IFERROR(INDEX(TablaMaxCalifPos[],MATCH(AY16,HALLAZGOS,0),MATCH($B$8,TablaMaxCalifPos[#Headers],0))*IFERROR(SEARCH("*FISCAL*",AY16,1)*(1-(AY17/AY9)),1)*(AVERAGEIF($C$22:$C$69,"*EFICACIA*",AY22:AY69)),"")</f>
        <v/>
      </c>
      <c r="AZ72" s="175" t="str">
        <f>IFERROR(INDEX(TablaMaxCalifPos[],MATCH(AZ16,HALLAZGOS,0),MATCH($B$8,TablaMaxCalifPos[#Headers],0))*IFERROR(SEARCH("*FISCAL*",AZ16,1)*(1-(AZ17/AZ9)),1)*(AVERAGEIF($C$22:$C$69,"*EFICACIA*",AZ22:AZ69)),"")</f>
        <v/>
      </c>
      <c r="BA72" s="175" t="str">
        <f>IFERROR(INDEX(TablaMaxCalifPos[],MATCH(BA16,HALLAZGOS,0),MATCH($B$8,TablaMaxCalifPos[#Headers],0))*IFERROR(SEARCH("*FISCAL*",BA16,1)*(1-(BA17/BA9)),1)*(AVERAGEIF($C$22:$C$69,"*EFICACIA*",BA22:BA69)),"")</f>
        <v/>
      </c>
      <c r="BB72" s="175" t="str">
        <f>IFERROR(INDEX(TablaMaxCalifPos[],MATCH(BB16,HALLAZGOS,0),MATCH($B$8,TablaMaxCalifPos[#Headers],0))*IFERROR(SEARCH("*FISCAL*",BB16,1)*(1-(BB17/BB9)),1)*(AVERAGEIF($C$22:$C$69,"*EFICACIA*",BB22:BB69)),"")</f>
        <v/>
      </c>
      <c r="BC72" s="175" t="str">
        <f>IFERROR(INDEX(TablaMaxCalifPos[],MATCH(BC16,HALLAZGOS,0),MATCH($B$8,TablaMaxCalifPos[#Headers],0))*IFERROR(SEARCH("*FISCAL*",BC16,1)*(1-(BC17/BC9)),1)*(AVERAGEIF($C$22:$C$69,"*EFICACIA*",BC22:BC69)),"")</f>
        <v/>
      </c>
      <c r="BD72" s="175" t="str">
        <f>IFERROR(INDEX(TablaMaxCalifPos[],MATCH(BD16,HALLAZGOS,0),MATCH($B$8,TablaMaxCalifPos[#Headers],0))*IFERROR(SEARCH("*FISCAL*",BD16,1)*(1-(BD17/BD9)),1)*(AVERAGEIF($C$22:$C$69,"*EFICACIA*",BD22:BD69)),"")</f>
        <v/>
      </c>
      <c r="BE72" s="175" t="str">
        <f>IFERROR(INDEX(TablaMaxCalifPos[],MATCH(BE16,HALLAZGOS,0),MATCH($B$8,TablaMaxCalifPos[#Headers],0))*IFERROR(SEARCH("*FISCAL*",BE16,1)*(1-(BE17/BE9)),1)*(AVERAGEIF($C$22:$C$69,"*EFICACIA*",BE22:BE69)),"")</f>
        <v/>
      </c>
      <c r="BF72" s="175" t="str">
        <f>IFERROR(INDEX(TablaMaxCalifPos[],MATCH(BF16,HALLAZGOS,0),MATCH($B$8,TablaMaxCalifPos[#Headers],0))*IFERROR(SEARCH("*FISCAL*",BF16,1)*(1-(BF17/BF9)),1)*(AVERAGEIF($C$22:$C$69,"*EFICACIA*",BF22:BF69)),"")</f>
        <v/>
      </c>
      <c r="BG72" s="175" t="str">
        <f>IFERROR(INDEX(TablaMaxCalifPos[],MATCH(BG16,HALLAZGOS,0),MATCH($B$8,TablaMaxCalifPos[#Headers],0))*IFERROR(SEARCH("*FISCAL*",BG16,1)*(1-(BG17/BG9)),1)*(AVERAGEIF($C$22:$C$69,"*EFICACIA*",BG22:BG69)),"")</f>
        <v/>
      </c>
      <c r="BH72" s="175" t="str">
        <f>IFERROR(INDEX(TablaMaxCalifPos[],MATCH(BH16,HALLAZGOS,0),MATCH($B$8,TablaMaxCalifPos[#Headers],0))*IFERROR(SEARCH("*FISCAL*",BH16,1)*(1-(BH17/BH9)),1)*(AVERAGEIF($C$22:$C$69,"*EFICACIA*",BH22:BH69)),"")</f>
        <v/>
      </c>
      <c r="BI72" s="175" t="str">
        <f>IFERROR(INDEX(TablaMaxCalifPos[],MATCH(BI16,HALLAZGOS,0),MATCH($B$8,TablaMaxCalifPos[#Headers],0))*IFERROR(SEARCH("*FISCAL*",BI16,1)*(1-(BI17/BI9)),1)*(AVERAGEIF($C$22:$C$69,"*EFICACIA*",BI22:BI69)),"")</f>
        <v/>
      </c>
      <c r="BJ72" s="175" t="str">
        <f>IFERROR(INDEX(TablaMaxCalifPos[],MATCH(BJ16,HALLAZGOS,0),MATCH($B$8,TablaMaxCalifPos[#Headers],0))*IFERROR(SEARCH("*FISCAL*",BJ16,1)*(1-(BJ17/BJ9)),1)*(AVERAGEIF($C$22:$C$69,"*EFICACIA*",BJ22:BJ69)),"")</f>
        <v/>
      </c>
      <c r="BK72" s="175" t="str">
        <f>IFERROR(INDEX(TablaMaxCalifPos[],MATCH(BK16,HALLAZGOS,0),MATCH($B$8,TablaMaxCalifPos[#Headers],0))*IFERROR(SEARCH("*FISCAL*",BK16,1)*(1-(BK17/BK9)),1)*(AVERAGEIF($C$22:$C$69,"*EFICACIA*",BK22:BK69)),"")</f>
        <v/>
      </c>
      <c r="BL72" s="175" t="str">
        <f>IFERROR(INDEX(TablaMaxCalifPos[],MATCH(BL16,HALLAZGOS,0),MATCH($B$8,TablaMaxCalifPos[#Headers],0))*IFERROR(SEARCH("*FISCAL*",BL16,1)*(1-(BL17/BL9)),1)*(AVERAGEIF($C$22:$C$69,"*EFICACIA*",BL22:BL69)),"")</f>
        <v/>
      </c>
      <c r="BM72" s="175" t="str">
        <f>IFERROR(INDEX(TablaMaxCalifPos[],MATCH(BM16,HALLAZGOS,0),MATCH($B$8,TablaMaxCalifPos[#Headers],0))*IFERROR(SEARCH("*FISCAL*",BM16,1)*(1-(BM17/BM9)),1)*(AVERAGEIF($C$22:$C$69,"*EFICACIA*",BM22:BM69)),"")</f>
        <v/>
      </c>
      <c r="BN72" s="175" t="str">
        <f>IFERROR(INDEX(TablaMaxCalifPos[],MATCH(BN16,HALLAZGOS,0),MATCH($B$8,TablaMaxCalifPos[#Headers],0))*IFERROR(SEARCH("*FISCAL*",BN16,1)*(1-(BN17/BN9)),1)*(AVERAGEIF($C$22:$C$69,"*EFICACIA*",BN22:BN69)),"")</f>
        <v/>
      </c>
      <c r="BO72" s="175" t="str">
        <f>IFERROR(INDEX(TablaMaxCalifPos[],MATCH(BO16,HALLAZGOS,0),MATCH($B$8,TablaMaxCalifPos[#Headers],0))*IFERROR(SEARCH("*FISCAL*",BO16,1)*(1-(BO17/BO9)),1)*(AVERAGEIF($C$22:$C$69,"*EFICACIA*",BO22:BO69)),"")</f>
        <v/>
      </c>
      <c r="BP72" s="175" t="str">
        <f>IFERROR(INDEX(TablaMaxCalifPos[],MATCH(BP16,HALLAZGOS,0),MATCH($B$8,TablaMaxCalifPos[#Headers],0))*IFERROR(SEARCH("*FISCAL*",BP16,1)*(1-(BP17/BP9)),1)*(AVERAGEIF($C$22:$C$69,"*EFICACIA*",BP22:BP69)),"")</f>
        <v/>
      </c>
      <c r="BQ72" s="175" t="str">
        <f>IFERROR(INDEX(TablaMaxCalifPos[],MATCH(BQ16,HALLAZGOS,0),MATCH($B$8,TablaMaxCalifPos[#Headers],0))*IFERROR(SEARCH("*FISCAL*",BQ16,1)*(1-(BQ17/BQ9)),1)*(AVERAGEIF($C$22:$C$69,"*EFICACIA*",BQ22:BQ69)),"")</f>
        <v/>
      </c>
      <c r="BR72" s="175" t="str">
        <f>IFERROR(INDEX(TablaMaxCalifPos[],MATCH(BR16,HALLAZGOS,0),MATCH($B$8,TablaMaxCalifPos[#Headers],0))*IFERROR(SEARCH("*FISCAL*",BR16,1)*(1-(BR17/BR9)),1)*(AVERAGEIF($C$22:$C$69,"*EFICACIA*",BR22:BR69)),"")</f>
        <v/>
      </c>
      <c r="BS72" s="175" t="str">
        <f>IFERROR(INDEX(TablaMaxCalifPos[],MATCH(BS16,HALLAZGOS,0),MATCH($B$8,TablaMaxCalifPos[#Headers],0))*IFERROR(SEARCH("*FISCAL*",BS16,1)*(1-(BS17/BS9)),1)*(AVERAGEIF($C$22:$C$69,"*EFICACIA*",BS22:BS69)),"")</f>
        <v/>
      </c>
      <c r="BT72" s="175" t="str">
        <f>IFERROR(INDEX(TablaMaxCalifPos[],MATCH(BT16,HALLAZGOS,0),MATCH($B$8,TablaMaxCalifPos[#Headers],0))*IFERROR(SEARCH("*FISCAL*",BT16,1)*(1-(BT17/BT9)),1)*(AVERAGEIF($C$22:$C$69,"*EFICACIA*",BT22:BT69)),"")</f>
        <v/>
      </c>
      <c r="BU72" s="175" t="str">
        <f>IFERROR(INDEX(TablaMaxCalifPos[],MATCH(BU16,HALLAZGOS,0),MATCH($B$8,TablaMaxCalifPos[#Headers],0))*IFERROR(SEARCH("*FISCAL*",BU16,1)*(1-(BU17/BU9)),1)*(AVERAGEIF($C$22:$C$69,"*EFICACIA*",BU22:BU69)),"")</f>
        <v/>
      </c>
      <c r="BV72" s="175" t="str">
        <f>IFERROR(INDEX(TablaMaxCalifPos[],MATCH(BV16,HALLAZGOS,0),MATCH($B$8,TablaMaxCalifPos[#Headers],0))*IFERROR(SEARCH("*FISCAL*",BV16,1)*(1-(BV17/BV9)),1)*(AVERAGEIF($C$22:$C$69,"*EFICACIA*",BV22:BV69)),"")</f>
        <v/>
      </c>
      <c r="BW72" s="175" t="str">
        <f>IFERROR(INDEX(TablaMaxCalifPos[],MATCH(BW16,HALLAZGOS,0),MATCH($B$8,TablaMaxCalifPos[#Headers],0))*IFERROR(SEARCH("*FISCAL*",BW16,1)*(1-(BW17/BW9)),1)*(AVERAGEIF($C$22:$C$69,"*EFICACIA*",BW22:BW69)),"")</f>
        <v/>
      </c>
      <c r="BX72" s="175" t="str">
        <f>IFERROR(INDEX(TablaMaxCalifPos[],MATCH(BX16,HALLAZGOS,0),MATCH($B$8,TablaMaxCalifPos[#Headers],0))*IFERROR(SEARCH("*FISCAL*",BX16,1)*(1-(BX17/BX9)),1)*(AVERAGEIF($C$22:$C$69,"*EFICACIA*",BX22:BX69)),"")</f>
        <v/>
      </c>
      <c r="BY72" s="175" t="str">
        <f>IFERROR(INDEX(TablaMaxCalifPos[],MATCH(BY16,HALLAZGOS,0),MATCH($B$8,TablaMaxCalifPos[#Headers],0))*IFERROR(SEARCH("*FISCAL*",BY16,1)*(1-(BY17/BY9)),1)*(AVERAGEIF($C$22:$C$69,"*EFICACIA*",BY22:BY69)),"")</f>
        <v/>
      </c>
      <c r="BZ72" s="175" t="str">
        <f>IFERROR(INDEX(TablaMaxCalifPos[],MATCH(BZ16,HALLAZGOS,0),MATCH($B$8,TablaMaxCalifPos[#Headers],0))*IFERROR(SEARCH("*FISCAL*",BZ16,1)*(1-(BZ17/BZ9)),1)*(AVERAGEIF($C$22:$C$69,"*EFICACIA*",BZ22:BZ69)),"")</f>
        <v/>
      </c>
      <c r="CA72" s="175" t="str">
        <f>IFERROR(INDEX(TablaMaxCalifPos[],MATCH(CA16,HALLAZGOS,0),MATCH($B$8,TablaMaxCalifPos[#Headers],0))*IFERROR(SEARCH("*FISCAL*",CA16,1)*(1-(CA17/CA9)),1)*(AVERAGEIF($C$22:$C$69,"*EFICACIA*",CA22:CA69)),"")</f>
        <v/>
      </c>
      <c r="CB72" s="175" t="str">
        <f>IFERROR(INDEX(TablaMaxCalifPos[],MATCH(CB16,HALLAZGOS,0),MATCH($B$8,TablaMaxCalifPos[#Headers],0))*IFERROR(SEARCH("*FISCAL*",CB16,1)*(1-(CB17/CB9)),1)*(AVERAGEIF($C$22:$C$69,"*EFICACIA*",CB22:CB69)),"")</f>
        <v/>
      </c>
      <c r="CC72" s="175" t="str">
        <f>IFERROR(INDEX(TablaMaxCalifPos[],MATCH(CC16,HALLAZGOS,0),MATCH($B$8,TablaMaxCalifPos[#Headers],0))*IFERROR(SEARCH("*FISCAL*",CC16,1)*(1-(CC17/CC9)),1)*(AVERAGEIF($C$22:$C$69,"*EFICACIA*",CC22:CC69)),"")</f>
        <v/>
      </c>
      <c r="CD72" s="175" t="str">
        <f>IFERROR(INDEX(TablaMaxCalifPos[],MATCH(CD16,HALLAZGOS,0),MATCH($B$8,TablaMaxCalifPos[#Headers],0))*IFERROR(SEARCH("*FISCAL*",CD16,1)*(1-(CD17/CD9)),1)*(AVERAGEIF($C$22:$C$69,"*EFICACIA*",CD22:CD69)),"")</f>
        <v/>
      </c>
      <c r="CE72" s="175" t="str">
        <f>IFERROR(INDEX(TablaMaxCalifPos[],MATCH(CE16,HALLAZGOS,0),MATCH($B$8,TablaMaxCalifPos[#Headers],0))*IFERROR(SEARCH("*FISCAL*",CE16,1)*(1-(CE17/CE9)),1)*(AVERAGEIF($C$22:$C$69,"*EFICACIA*",CE22:CE69)),"")</f>
        <v/>
      </c>
      <c r="CF72" s="175" t="str">
        <f>IFERROR(INDEX(TablaMaxCalifPos[],MATCH(CF16,HALLAZGOS,0),MATCH($B$8,TablaMaxCalifPos[#Headers],0))*IFERROR(SEARCH("*FISCAL*",CF16,1)*(1-(CF17/CF9)),1)*(AVERAGEIF($C$22:$C$69,"*EFICACIA*",CF22:CF69)),"")</f>
        <v/>
      </c>
      <c r="CG72" s="175" t="str">
        <f>IFERROR(INDEX(TablaMaxCalifPos[],MATCH(CG16,HALLAZGOS,0),MATCH($B$8,TablaMaxCalifPos[#Headers],0))*IFERROR(SEARCH("*FISCAL*",CG16,1)*(1-(CG17/CG9)),1)*(AVERAGEIF($C$22:$C$69,"*EFICACIA*",CG22:CG69)),"")</f>
        <v/>
      </c>
      <c r="CH72" s="175" t="str">
        <f>IFERROR(INDEX(TablaMaxCalifPos[],MATCH(CH16,HALLAZGOS,0),MATCH($B$8,TablaMaxCalifPos[#Headers],0))*IFERROR(SEARCH("*FISCAL*",CH16,1)*(1-(CH17/CH9)),1)*(AVERAGEIF($C$22:$C$69,"*EFICACIA*",CH22:CH69)),"")</f>
        <v/>
      </c>
      <c r="CI72" s="175" t="str">
        <f>IFERROR(INDEX(TablaMaxCalifPos[],MATCH(CI16,HALLAZGOS,0),MATCH($B$8,TablaMaxCalifPos[#Headers],0))*IFERROR(SEARCH("*FISCAL*",CI16,1)*(1-(CI17/CI9)),1)*(AVERAGEIF($C$22:$C$69,"*EFICACIA*",CI22:CI69)),"")</f>
        <v/>
      </c>
      <c r="CJ72" s="175" t="str">
        <f>IFERROR(INDEX(TablaMaxCalifPos[],MATCH(CJ16,HALLAZGOS,0),MATCH($B$8,TablaMaxCalifPos[#Headers],0))*IFERROR(SEARCH("*FISCAL*",CJ16,1)*(1-(CJ17/CJ9)),1)*(AVERAGEIF($C$22:$C$69,"*EFICACIA*",CJ22:CJ69)),"")</f>
        <v/>
      </c>
      <c r="CK72" s="175" t="str">
        <f>IFERROR(INDEX(TablaMaxCalifPos[],MATCH(CK16,HALLAZGOS,0),MATCH($B$8,TablaMaxCalifPos[#Headers],0))*IFERROR(SEARCH("*FISCAL*",CK16,1)*(1-(CK17/CK9)),1)*(AVERAGEIF($C$22:$C$69,"*EFICACIA*",CK22:CK69)),"")</f>
        <v/>
      </c>
      <c r="CL72" s="175" t="str">
        <f>IFERROR(INDEX(TablaMaxCalifPos[],MATCH(CL16,HALLAZGOS,0),MATCH($B$8,TablaMaxCalifPos[#Headers],0))*IFERROR(SEARCH("*FISCAL*",CL16,1)*(1-(CL17/CL9)),1)*(AVERAGEIF($C$22:$C$69,"*EFICACIA*",CL22:CL69)),"")</f>
        <v/>
      </c>
      <c r="CM72" s="175" t="str">
        <f>IFERROR(INDEX(TablaMaxCalifPos[],MATCH(CM16,HALLAZGOS,0),MATCH($B$8,TablaMaxCalifPos[#Headers],0))*IFERROR(SEARCH("*FISCAL*",CM16,1)*(1-(CM17/CM9)),1)*(AVERAGEIF($C$22:$C$69,"*EFICACIA*",CM22:CM69)),"")</f>
        <v/>
      </c>
      <c r="CN72" s="175" t="str">
        <f>IFERROR(INDEX(TablaMaxCalifPos[],MATCH(CN16,HALLAZGOS,0),MATCH($B$8,TablaMaxCalifPos[#Headers],0))*IFERROR(SEARCH("*FISCAL*",CN16,1)*(1-(CN17/CN9)),1)*(AVERAGEIF($C$22:$C$69,"*EFICACIA*",CN22:CN69)),"")</f>
        <v/>
      </c>
      <c r="CO72" s="175" t="str">
        <f>IFERROR(INDEX(TablaMaxCalifPos[],MATCH(CO16,HALLAZGOS,0),MATCH($B$8,TablaMaxCalifPos[#Headers],0))*IFERROR(SEARCH("*FISCAL*",CO16,1)*(1-(CO17/CO9)),1)*(AVERAGEIF($C$22:$C$69,"*EFICACIA*",CO22:CO69)),"")</f>
        <v/>
      </c>
      <c r="CP72" s="175" t="str">
        <f>IFERROR(INDEX(TablaMaxCalifPos[],MATCH(CP16,HALLAZGOS,0),MATCH($B$8,TablaMaxCalifPos[#Headers],0))*IFERROR(SEARCH("*FISCAL*",CP16,1)*(1-(CP17/CP9)),1)*(AVERAGEIF($C$22:$C$69,"*EFICACIA*",CP22:CP69)),"")</f>
        <v/>
      </c>
      <c r="CQ72" s="175" t="str">
        <f>IFERROR(INDEX(TablaMaxCalifPos[],MATCH(CQ16,HALLAZGOS,0),MATCH($B$8,TablaMaxCalifPos[#Headers],0))*IFERROR(SEARCH("*FISCAL*",CQ16,1)*(1-(CQ17/CQ9)),1)*(AVERAGEIF($C$22:$C$69,"*EFICACIA*",CQ22:CQ69)),"")</f>
        <v/>
      </c>
      <c r="CR72" s="175" t="str">
        <f>IFERROR(INDEX(TablaMaxCalifPos[],MATCH(CR16,HALLAZGOS,0),MATCH($B$8,TablaMaxCalifPos[#Headers],0))*IFERROR(SEARCH("*FISCAL*",CR16,1)*(1-(CR17/CR9)),1)*(AVERAGEIF($C$22:$C$69,"*EFICACIA*",CR22:CR69)),"")</f>
        <v/>
      </c>
      <c r="CS72" s="175" t="str">
        <f>IFERROR(INDEX(TablaMaxCalifPos[],MATCH(CS16,HALLAZGOS,0),MATCH($B$8,TablaMaxCalifPos[#Headers],0))*IFERROR(SEARCH("*FISCAL*",CS16,1)*(1-(CS17/CS9)),1)*(AVERAGEIF($C$22:$C$69,"*EFICACIA*",CS22:CS69)),"")</f>
        <v/>
      </c>
      <c r="CT72" s="175" t="str">
        <f>IFERROR(INDEX(TablaMaxCalifPos[],MATCH(CT16,HALLAZGOS,0),MATCH($B$8,TablaMaxCalifPos[#Headers],0))*IFERROR(SEARCH("*FISCAL*",CT16,1)*(1-(CT17/CT9)),1)*(AVERAGEIF($C$22:$C$69,"*EFICACIA*",CT22:CT69)),"")</f>
        <v/>
      </c>
      <c r="CU72" s="175" t="str">
        <f>IFERROR(INDEX(TablaMaxCalifPos[],MATCH(CU16,HALLAZGOS,0),MATCH($B$8,TablaMaxCalifPos[#Headers],0))*IFERROR(SEARCH("*FISCAL*",CU16,1)*(1-(CU17/CU9)),1)*(AVERAGEIF($C$22:$C$69,"*EFICACIA*",CU22:CU69)),"")</f>
        <v/>
      </c>
      <c r="CV72" s="175" t="str">
        <f>IFERROR(INDEX(TablaMaxCalifPos[],MATCH(CV16,HALLAZGOS,0),MATCH($B$8,TablaMaxCalifPos[#Headers],0))*IFERROR(SEARCH("*FISCAL*",CV16,1)*(1-(CV17/CV9)),1)*(AVERAGEIF($C$22:$C$69,"*EFICACIA*",CV22:CV69)),"")</f>
        <v/>
      </c>
      <c r="CW72" s="175" t="str">
        <f>IFERROR(INDEX(TablaMaxCalifPos[],MATCH(CW16,HALLAZGOS,0),MATCH($B$8,TablaMaxCalifPos[#Headers],0))*IFERROR(SEARCH("*FISCAL*",CW16,1)*(1-(CW17/CW9)),1)*(AVERAGEIF($C$22:$C$69,"*EFICACIA*",CW22:CW69)),"")</f>
        <v/>
      </c>
      <c r="CX72" s="175" t="str">
        <f>IFERROR(INDEX(TablaMaxCalifPos[],MATCH(CX16,HALLAZGOS,0),MATCH($B$8,TablaMaxCalifPos[#Headers],0))*IFERROR(SEARCH("*FISCAL*",CX16,1)*(1-(CX17/CX9)),1)*(AVERAGEIF($C$22:$C$69,"*EFICACIA*",CX22:CX69)),"")</f>
        <v/>
      </c>
      <c r="CY72" s="175" t="str">
        <f>IFERROR(INDEX(TablaMaxCalifPos[],MATCH(CY16,HALLAZGOS,0),MATCH($B$8,TablaMaxCalifPos[#Headers],0))*IFERROR(SEARCH("*FISCAL*",CY16,1)*(1-(CY17/CY9)),1)*(AVERAGEIF($C$22:$C$69,"*EFICACIA*",CY22:CY69)),"")</f>
        <v/>
      </c>
    </row>
    <row r="73" spans="1:105" s="176" customFormat="1" ht="17.399999999999999" x14ac:dyDescent="0.3">
      <c r="C73" s="1572"/>
      <c r="D73" s="174" t="s">
        <v>272</v>
      </c>
      <c r="E73" s="175">
        <f>IFERROR(INDEX(TablaMaxCalifPos[],MATCH(E16,HALLAZGOS,0),MATCH($B$8,TablaMaxCalifPos[#Headers],0))*IFERROR(SEARCH("*FISCAL*",E16,1)*(1-(E17/E9)),1)*(AVERAGEIF($C$22:$C$69,"*ECONOMÍA*",E22:E69)),"")</f>
        <v>0.7</v>
      </c>
      <c r="F73" s="175">
        <f>IFERROR(INDEX(TablaMaxCalifPos[],MATCH(F16,HALLAZGOS,0),MATCH($B$8,TablaMaxCalifPos[#Headers],0))*IFERROR(SEARCH("*FISCAL*",F16,1)*(1-(F17/F9)),1)*(AVERAGEIF($C$22:$C$69,"*ECONOMÍA*",F22:F69)),"")</f>
        <v>0.73000000000000009</v>
      </c>
      <c r="G73" s="175">
        <f>IFERROR(INDEX(TablaMaxCalifPos[],MATCH(G16,HALLAZGOS,0),MATCH($B$8,TablaMaxCalifPos[#Headers],0))*IFERROR(SEARCH("*FISCAL*",G16,1)*(1-(G17/G9)),1)*(AVERAGEIF($C$22:$C$69,"*ECONOMÍA*",G22:G69)),"")</f>
        <v>0.2055607476635514</v>
      </c>
      <c r="H73" s="175">
        <f>IFERROR(INDEX(TablaMaxCalifPos[],MATCH(H16,HALLAZGOS,0),MATCH($B$8,TablaMaxCalifPos[#Headers],0))*IFERROR(SEARCH("*FISCAL*",H16,1)*(1-(H17/H9)),1)*(AVERAGEIF($C$22:$C$69,"*ECONOMÍA*",H22:H69)),"")</f>
        <v>0.78299999999999992</v>
      </c>
      <c r="I73" s="175">
        <f>IFERROR(INDEX(TablaMaxCalifPos[],MATCH(I16,HALLAZGOS,0),MATCH($B$8,TablaMaxCalifPos[#Headers],0))*IFERROR(SEARCH("*FISCAL*",I16,1)*(1-(I17/I9)),1)*(AVERAGEIF($C$22:$C$69,"*ECONOMÍA*",I22:I69)),"")</f>
        <v>0.98749999999999993</v>
      </c>
      <c r="J73" s="175">
        <f>IFERROR(INDEX(TablaMaxCalifPos[],MATCH(J16,HALLAZGOS,0),MATCH($B$8,TablaMaxCalifPos[#Headers],0))*IFERROR(SEARCH("*FISCAL*",J16,1)*(1-(J17/J9)),1)*(AVERAGEIF($C$22:$C$69,"*ECONOMÍA*",J22:J69)),"")</f>
        <v>0.77666666666666673</v>
      </c>
      <c r="K73" s="175">
        <f>IFERROR(INDEX(TablaMaxCalifPos[],MATCH(K16,HALLAZGOS,0),MATCH($B$8,TablaMaxCalifPos[#Headers],0))*IFERROR(SEARCH("*FISCAL*",K16,1)*(1-(K17/K9)),1)*(AVERAGEIF($C$22:$C$69,"*ECONOMÍA*",K22:K69)),"")</f>
        <v>0.87375000000000003</v>
      </c>
      <c r="L73" s="175" t="str">
        <f>IFERROR(INDEX(TablaMaxCalifPos[],MATCH(L16,HALLAZGOS,0),MATCH($B$8,TablaMaxCalifPos[#Headers],0))*IFERROR(SEARCH("*FISCAL*",L16,1)*(1-(L17/L9)),1)*(AVERAGEIF($C$22:$C$69,"*ECONOMÍA*",L22:L69)),"")</f>
        <v/>
      </c>
      <c r="M73" s="175" t="str">
        <f>IFERROR(INDEX(TablaMaxCalifPos[],MATCH(M16,HALLAZGOS,0),MATCH($B$8,TablaMaxCalifPos[#Headers],0))*IFERROR(SEARCH("*FISCAL*",M16,1)*(1-(M17/M9)),1)*(AVERAGEIF($C$22:$C$69,"*ECONOMÍA*",M22:M69)),"")</f>
        <v/>
      </c>
      <c r="N73" s="175" t="str">
        <f>IFERROR(INDEX(TablaMaxCalifPos[],MATCH(N16,HALLAZGOS,0),MATCH($B$8,TablaMaxCalifPos[#Headers],0))*IFERROR(SEARCH("*FISCAL*",N16,1)*(1-(N17/N9)),1)*(AVERAGEIF($C$22:$C$69,"*ECONOMÍA*",N22:N69)),"")</f>
        <v/>
      </c>
      <c r="O73" s="175" t="str">
        <f>IFERROR(INDEX(TablaMaxCalifPos[],MATCH(O16,HALLAZGOS,0),MATCH($B$8,TablaMaxCalifPos[#Headers],0))*IFERROR(SEARCH("*FISCAL*",O16,1)*(1-(O17/O9)),1)*(AVERAGEIF($C$22:$C$69,"*ECONOMÍA*",O22:O69)),"")</f>
        <v/>
      </c>
      <c r="P73" s="175" t="str">
        <f>IFERROR(INDEX(TablaMaxCalifPos[],MATCH(P16,HALLAZGOS,0),MATCH($B$8,TablaMaxCalifPos[#Headers],0))*IFERROR(SEARCH("*FISCAL*",P16,1)*(1-(P17/P9)),1)*(AVERAGEIF($C$22:$C$69,"*ECONOMÍA*",P22:P69)),"")</f>
        <v/>
      </c>
      <c r="Q73" s="175" t="str">
        <f>IFERROR(INDEX(TablaMaxCalifPos[],MATCH(Q16,HALLAZGOS,0),MATCH($B$8,TablaMaxCalifPos[#Headers],0))*IFERROR(SEARCH("*FISCAL*",Q16,1)*(1-(Q17/Q9)),1)*(AVERAGEIF($C$22:$C$69,"*ECONOMÍA*",Q22:Q69)),"")</f>
        <v/>
      </c>
      <c r="R73" s="175" t="str">
        <f>IFERROR(INDEX(TablaMaxCalifPos[],MATCH(R16,HALLAZGOS,0),MATCH($B$8,TablaMaxCalifPos[#Headers],0))*IFERROR(SEARCH("*FISCAL*",R16,1)*(1-(R17/R9)),1)*(AVERAGEIF($C$22:$C$69,"*ECONOMÍA*",R22:R69)),"")</f>
        <v/>
      </c>
      <c r="S73" s="175" t="str">
        <f>IFERROR(INDEX(TablaMaxCalifPos[],MATCH(S16,HALLAZGOS,0),MATCH($B$8,TablaMaxCalifPos[#Headers],0))*IFERROR(SEARCH("*FISCAL*",S16,1)*(1-(S17/S9)),1)*(AVERAGEIF($C$22:$C$69,"*ECONOMÍA*",S22:S69)),"")</f>
        <v/>
      </c>
      <c r="T73" s="175" t="str">
        <f>IFERROR(INDEX(TablaMaxCalifPos[],MATCH(T16,HALLAZGOS,0),MATCH($B$8,TablaMaxCalifPos[#Headers],0))*IFERROR(SEARCH("*FISCAL*",T16,1)*(1-(T17/T9)),1)*(AVERAGEIF($C$22:$C$69,"*ECONOMÍA*",T22:T69)),"")</f>
        <v/>
      </c>
      <c r="U73" s="175" t="str">
        <f>IFERROR(INDEX(TablaMaxCalifPos[],MATCH(U16,HALLAZGOS,0),MATCH($B$8,TablaMaxCalifPos[#Headers],0))*IFERROR(SEARCH("*FISCAL*",U16,1)*(1-(U17/U9)),1)*(AVERAGEIF($C$22:$C$69,"*ECONOMÍA*",U22:U69)),"")</f>
        <v/>
      </c>
      <c r="V73" s="175" t="str">
        <f>IFERROR(INDEX(TablaMaxCalifPos[],MATCH(V16,HALLAZGOS,0),MATCH($B$8,TablaMaxCalifPos[#Headers],0))*IFERROR(SEARCH("*FISCAL*",V16,1)*(1-(V17/V9)),1)*(AVERAGEIF($C$22:$C$69,"*ECONOMÍA*",V22:V69)),"")</f>
        <v/>
      </c>
      <c r="W73" s="175" t="str">
        <f>IFERROR(INDEX(TablaMaxCalifPos[],MATCH(W16,HALLAZGOS,0),MATCH($B$8,TablaMaxCalifPos[#Headers],0))*IFERROR(SEARCH("*FISCAL*",W16,1)*(1-(W17/W9)),1)*(AVERAGEIF($C$22:$C$69,"*ECONOMÍA*",W22:W69)),"")</f>
        <v/>
      </c>
      <c r="X73" s="175" t="str">
        <f>IFERROR(INDEX(TablaMaxCalifPos[],MATCH(X16,HALLAZGOS,0),MATCH($B$8,TablaMaxCalifPos[#Headers],0))*IFERROR(SEARCH("*FISCAL*",X16,1)*(1-(X17/X9)),1)*(AVERAGEIF($C$22:$C$69,"*ECONOMÍA*",X22:X69)),"")</f>
        <v/>
      </c>
      <c r="Y73" s="175" t="str">
        <f>IFERROR(INDEX(TablaMaxCalifPos[],MATCH(Y16,HALLAZGOS,0),MATCH($B$8,TablaMaxCalifPos[#Headers],0))*IFERROR(SEARCH("*FISCAL*",Y16,1)*(1-(Y17/Y9)),1)*(AVERAGEIF($C$22:$C$69,"*ECONOMÍA*",Y22:Y69)),"")</f>
        <v/>
      </c>
      <c r="Z73" s="175" t="str">
        <f>IFERROR(INDEX(TablaMaxCalifPos[],MATCH(Z16,HALLAZGOS,0),MATCH($B$8,TablaMaxCalifPos[#Headers],0))*IFERROR(SEARCH("*FISCAL*",Z16,1)*(1-(Z17/Z9)),1)*(AVERAGEIF($C$22:$C$69,"*ECONOMÍA*",Z22:Z69)),"")</f>
        <v/>
      </c>
      <c r="AA73" s="175" t="str">
        <f>IFERROR(INDEX(TablaMaxCalifPos[],MATCH(AA16,HALLAZGOS,0),MATCH($B$8,TablaMaxCalifPos[#Headers],0))*IFERROR(SEARCH("*FISCAL*",AA16,1)*(1-(AA17/AA9)),1)*(AVERAGEIF($C$22:$C$69,"*ECONOMÍA*",AA22:AA69)),"")</f>
        <v/>
      </c>
      <c r="AB73" s="175" t="str">
        <f>IFERROR(INDEX(TablaMaxCalifPos[],MATCH(AB16,HALLAZGOS,0),MATCH($B$8,TablaMaxCalifPos[#Headers],0))*IFERROR(SEARCH("*FISCAL*",AB16,1)*(1-(AB17/AB9)),1)*(AVERAGEIF($C$22:$C$69,"*ECONOMÍA*",AB22:AB69)),"")</f>
        <v/>
      </c>
      <c r="AC73" s="175" t="str">
        <f>IFERROR(INDEX(TablaMaxCalifPos[],MATCH(AC16,HALLAZGOS,0),MATCH($B$8,TablaMaxCalifPos[#Headers],0))*IFERROR(SEARCH("*FISCAL*",AC16,1)*(1-(AC17/AC9)),1)*(AVERAGEIF($C$22:$C$69,"*ECONOMÍA*",AC22:AC69)),"")</f>
        <v/>
      </c>
      <c r="AD73" s="175" t="str">
        <f>IFERROR(INDEX(TablaMaxCalifPos[],MATCH(AD16,HALLAZGOS,0),MATCH($B$8,TablaMaxCalifPos[#Headers],0))*IFERROR(SEARCH("*FISCAL*",AD16,1)*(1-(AD17/AD9)),1)*(AVERAGEIF($C$22:$C$69,"*ECONOMÍA*",AD22:AD69)),"")</f>
        <v/>
      </c>
      <c r="AE73" s="175" t="str">
        <f>IFERROR(INDEX(TablaMaxCalifPos[],MATCH(AE16,HALLAZGOS,0),MATCH($B$8,TablaMaxCalifPos[#Headers],0))*IFERROR(SEARCH("*FISCAL*",AE16,1)*(1-(AE17/AE9)),1)*(AVERAGEIF($C$22:$C$69,"*ECONOMÍA*",AE22:AE69)),"")</f>
        <v/>
      </c>
      <c r="AF73" s="175" t="str">
        <f>IFERROR(INDEX(TablaMaxCalifPos[],MATCH(AF16,HALLAZGOS,0),MATCH($B$8,TablaMaxCalifPos[#Headers],0))*IFERROR(SEARCH("*FISCAL*",AF16,1)*(1-(AF17/AF9)),1)*(AVERAGEIF($C$22:$C$69,"*ECONOMÍA*",AF22:AF69)),"")</f>
        <v/>
      </c>
      <c r="AG73" s="175" t="str">
        <f>IFERROR(INDEX(TablaMaxCalifPos[],MATCH(AG16,HALLAZGOS,0),MATCH($B$8,TablaMaxCalifPos[#Headers],0))*IFERROR(SEARCH("*FISCAL*",AG16,1)*(1-(AG17/AG9)),1)*(AVERAGEIF($C$22:$C$69,"*ECONOMÍA*",AG22:AG69)),"")</f>
        <v/>
      </c>
      <c r="AH73" s="175" t="str">
        <f>IFERROR(INDEX(TablaMaxCalifPos[],MATCH(AH16,HALLAZGOS,0),MATCH($B$8,TablaMaxCalifPos[#Headers],0))*IFERROR(SEARCH("*FISCAL*",AH16,1)*(1-(AH17/AH9)),1)*(AVERAGEIF($C$22:$C$69,"*ECONOMÍA*",AH22:AH69)),"")</f>
        <v/>
      </c>
      <c r="AI73" s="175" t="str">
        <f>IFERROR(INDEX(TablaMaxCalifPos[],MATCH(AI16,HALLAZGOS,0),MATCH($B$8,TablaMaxCalifPos[#Headers],0))*IFERROR(SEARCH("*FISCAL*",AI16,1)*(1-(AI17/AI9)),1)*(AVERAGEIF($C$22:$C$69,"*ECONOMÍA*",AI22:AI69)),"")</f>
        <v/>
      </c>
      <c r="AJ73" s="175" t="str">
        <f>IFERROR(INDEX(TablaMaxCalifPos[],MATCH(AJ16,HALLAZGOS,0),MATCH($B$8,TablaMaxCalifPos[#Headers],0))*IFERROR(SEARCH("*FISCAL*",AJ16,1)*(1-(AJ17/AJ9)),1)*(AVERAGEIF($C$22:$C$69,"*ECONOMÍA*",AJ22:AJ69)),"")</f>
        <v/>
      </c>
      <c r="AK73" s="175" t="str">
        <f>IFERROR(INDEX(TablaMaxCalifPos[],MATCH(AK16,HALLAZGOS,0),MATCH($B$8,TablaMaxCalifPos[#Headers],0))*IFERROR(SEARCH("*FISCAL*",AK16,1)*(1-(AK17/AK9)),1)*(AVERAGEIF($C$22:$C$69,"*ECONOMÍA*",AK22:AK69)),"")</f>
        <v/>
      </c>
      <c r="AL73" s="175" t="str">
        <f>IFERROR(INDEX(TablaMaxCalifPos[],MATCH(AL16,HALLAZGOS,0),MATCH($B$8,TablaMaxCalifPos[#Headers],0))*IFERROR(SEARCH("*FISCAL*",AL16,1)*(1-(AL17/AL9)),1)*(AVERAGEIF($C$22:$C$69,"*ECONOMÍA*",AL22:AL69)),"")</f>
        <v/>
      </c>
      <c r="AM73" s="175" t="str">
        <f>IFERROR(INDEX(TablaMaxCalifPos[],MATCH(AM16,HALLAZGOS,0),MATCH($B$8,TablaMaxCalifPos[#Headers],0))*IFERROR(SEARCH("*FISCAL*",AM16,1)*(1-(AM17/AM9)),1)*(AVERAGEIF($C$22:$C$69,"*ECONOMÍA*",AM22:AM69)),"")</f>
        <v/>
      </c>
      <c r="AN73" s="175" t="str">
        <f>IFERROR(INDEX(TablaMaxCalifPos[],MATCH(AN16,HALLAZGOS,0),MATCH($B$8,TablaMaxCalifPos[#Headers],0))*IFERROR(SEARCH("*FISCAL*",AN16,1)*(1-(AN17/AN9)),1)*(AVERAGEIF($C$22:$C$69,"*ECONOMÍA*",AN22:AN69)),"")</f>
        <v/>
      </c>
      <c r="AO73" s="175" t="str">
        <f>IFERROR(INDEX(TablaMaxCalifPos[],MATCH(AO16,HALLAZGOS,0),MATCH($B$8,TablaMaxCalifPos[#Headers],0))*IFERROR(SEARCH("*FISCAL*",AO16,1)*(1-(AO17/AO9)),1)*(AVERAGEIF($C$22:$C$69,"*ECONOMÍA*",AO22:AO69)),"")</f>
        <v/>
      </c>
      <c r="AP73" s="175" t="str">
        <f>IFERROR(INDEX(TablaMaxCalifPos[],MATCH(AP16,HALLAZGOS,0),MATCH($B$8,TablaMaxCalifPos[#Headers],0))*IFERROR(SEARCH("*FISCAL*",AP16,1)*(1-(AP17/AP9)),1)*(AVERAGEIF($C$22:$C$69,"*ECONOMÍA*",AP22:AP69)),"")</f>
        <v/>
      </c>
      <c r="AQ73" s="175" t="str">
        <f>IFERROR(INDEX(TablaMaxCalifPos[],MATCH(AQ16,HALLAZGOS,0),MATCH($B$8,TablaMaxCalifPos[#Headers],0))*IFERROR(SEARCH("*FISCAL*",AQ16,1)*(1-(AQ17/AQ9)),1)*(AVERAGEIF($C$22:$C$69,"*ECONOMÍA*",AQ22:AQ69)),"")</f>
        <v/>
      </c>
      <c r="AR73" s="175" t="str">
        <f>IFERROR(INDEX(TablaMaxCalifPos[],MATCH(AR16,HALLAZGOS,0),MATCH($B$8,TablaMaxCalifPos[#Headers],0))*IFERROR(SEARCH("*FISCAL*",AR16,1)*(1-(AR17/AR9)),1)*(AVERAGEIF($C$22:$C$69,"*ECONOMÍA*",AR22:AR69)),"")</f>
        <v/>
      </c>
      <c r="AS73" s="175" t="str">
        <f>IFERROR(INDEX(TablaMaxCalifPos[],MATCH(AS16,HALLAZGOS,0),MATCH($B$8,TablaMaxCalifPos[#Headers],0))*IFERROR(SEARCH("*FISCAL*",AS16,1)*(1-(AS17/AS9)),1)*(AVERAGEIF($C$22:$C$69,"*ECONOMÍA*",AS22:AS69)),"")</f>
        <v/>
      </c>
      <c r="AT73" s="175" t="str">
        <f>IFERROR(INDEX(TablaMaxCalifPos[],MATCH(AT16,HALLAZGOS,0),MATCH($B$8,TablaMaxCalifPos[#Headers],0))*IFERROR(SEARCH("*FISCAL*",AT16,1)*(1-(AT17/AT9)),1)*(AVERAGEIF($C$22:$C$69,"*ECONOMÍA*",AT22:AT69)),"")</f>
        <v/>
      </c>
      <c r="AU73" s="175" t="str">
        <f>IFERROR(INDEX(TablaMaxCalifPos[],MATCH(AU16,HALLAZGOS,0),MATCH($B$8,TablaMaxCalifPos[#Headers],0))*IFERROR(SEARCH("*FISCAL*",AU16,1)*(1-(AU17/AU9)),1)*(AVERAGEIF($C$22:$C$69,"*ECONOMÍA*",AU22:AU69)),"")</f>
        <v/>
      </c>
      <c r="AV73" s="175" t="str">
        <f>IFERROR(INDEX(TablaMaxCalifPos[],MATCH(AV16,HALLAZGOS,0),MATCH($B$8,TablaMaxCalifPos[#Headers],0))*IFERROR(SEARCH("*FISCAL*",AV16,1)*(1-(AV17/AV9)),1)*(AVERAGEIF($C$22:$C$69,"*ECONOMÍA*",AV22:AV69)),"")</f>
        <v/>
      </c>
      <c r="AW73" s="175" t="str">
        <f>IFERROR(INDEX(TablaMaxCalifPos[],MATCH(AW16,HALLAZGOS,0),MATCH($B$8,TablaMaxCalifPos[#Headers],0))*IFERROR(SEARCH("*FISCAL*",AW16,1)*(1-(AW17/AW9)),1)*(AVERAGEIF($C$22:$C$69,"*ECONOMÍA*",AW22:AW69)),"")</f>
        <v/>
      </c>
      <c r="AX73" s="175" t="str">
        <f>IFERROR(INDEX(TablaMaxCalifPos[],MATCH(AX16,HALLAZGOS,0),MATCH($B$8,TablaMaxCalifPos[#Headers],0))*IFERROR(SEARCH("*FISCAL*",AX16,1)*(1-(AX17/AX9)),1)*(AVERAGEIF($C$22:$C$69,"*ECONOMÍA*",AX22:AX69)),"")</f>
        <v/>
      </c>
      <c r="AY73" s="175" t="str">
        <f>IFERROR(INDEX(TablaMaxCalifPos[],MATCH(AY16,HALLAZGOS,0),MATCH($B$8,TablaMaxCalifPos[#Headers],0))*IFERROR(SEARCH("*FISCAL*",AY16,1)*(1-(AY17/AY9)),1)*(AVERAGEIF($C$22:$C$69,"*ECONOMÍA*",AY22:AY69)),"")</f>
        <v/>
      </c>
      <c r="AZ73" s="175" t="str">
        <f>IFERROR(INDEX(TablaMaxCalifPos[],MATCH(AZ16,HALLAZGOS,0),MATCH($B$8,TablaMaxCalifPos[#Headers],0))*IFERROR(SEARCH("*FISCAL*",AZ16,1)*(1-(AZ17/AZ9)),1)*(AVERAGEIF($C$22:$C$69,"*ECONOMÍA*",AZ22:AZ69)),"")</f>
        <v/>
      </c>
      <c r="BA73" s="175" t="str">
        <f>IFERROR(INDEX(TablaMaxCalifPos[],MATCH(BA16,HALLAZGOS,0),MATCH($B$8,TablaMaxCalifPos[#Headers],0))*IFERROR(SEARCH("*FISCAL*",BA16,1)*(1-(BA17/BA9)),1)*(AVERAGEIF($C$22:$C$69,"*ECONOMÍA*",BA22:BA69)),"")</f>
        <v/>
      </c>
      <c r="BB73" s="175" t="str">
        <f>IFERROR(INDEX(TablaMaxCalifPos[],MATCH(BB16,HALLAZGOS,0),MATCH($B$8,TablaMaxCalifPos[#Headers],0))*IFERROR(SEARCH("*FISCAL*",BB16,1)*(1-(BB17/BB9)),1)*(AVERAGEIF($C$22:$C$69,"*ECONOMÍA*",BB22:BB69)),"")</f>
        <v/>
      </c>
      <c r="BC73" s="175" t="str">
        <f>IFERROR(INDEX(TablaMaxCalifPos[],MATCH(BC16,HALLAZGOS,0),MATCH($B$8,TablaMaxCalifPos[#Headers],0))*IFERROR(SEARCH("*FISCAL*",BC16,1)*(1-(BC17/BC9)),1)*(AVERAGEIF($C$22:$C$69,"*ECONOMÍA*",BC22:BC69)),"")</f>
        <v/>
      </c>
      <c r="BD73" s="175" t="str">
        <f>IFERROR(INDEX(TablaMaxCalifPos[],MATCH(BD16,HALLAZGOS,0),MATCH($B$8,TablaMaxCalifPos[#Headers],0))*IFERROR(SEARCH("*FISCAL*",BD16,1)*(1-(BD17/BD9)),1)*(AVERAGEIF($C$22:$C$69,"*ECONOMÍA*",BD22:BD69)),"")</f>
        <v/>
      </c>
      <c r="BE73" s="175" t="str">
        <f>IFERROR(INDEX(TablaMaxCalifPos[],MATCH(BE16,HALLAZGOS,0),MATCH($B$8,TablaMaxCalifPos[#Headers],0))*IFERROR(SEARCH("*FISCAL*",BE16,1)*(1-(BE17/BE9)),1)*(AVERAGEIF($C$22:$C$69,"*ECONOMÍA*",BE22:BE69)),"")</f>
        <v/>
      </c>
      <c r="BF73" s="175" t="str">
        <f>IFERROR(INDEX(TablaMaxCalifPos[],MATCH(BF16,HALLAZGOS,0),MATCH($B$8,TablaMaxCalifPos[#Headers],0))*IFERROR(SEARCH("*FISCAL*",BF16,1)*(1-(BF17/BF9)),1)*(AVERAGEIF($C$22:$C$69,"*ECONOMÍA*",BF22:BF69)),"")</f>
        <v/>
      </c>
      <c r="BG73" s="175" t="str">
        <f>IFERROR(INDEX(TablaMaxCalifPos[],MATCH(BG16,HALLAZGOS,0),MATCH($B$8,TablaMaxCalifPos[#Headers],0))*IFERROR(SEARCH("*FISCAL*",BG16,1)*(1-(BG17/BG9)),1)*(AVERAGEIF($C$22:$C$69,"*ECONOMÍA*",BG22:BG69)),"")</f>
        <v/>
      </c>
      <c r="BH73" s="175" t="str">
        <f>IFERROR(INDEX(TablaMaxCalifPos[],MATCH(BH16,HALLAZGOS,0),MATCH($B$8,TablaMaxCalifPos[#Headers],0))*IFERROR(SEARCH("*FISCAL*",BH16,1)*(1-(BH17/BH9)),1)*(AVERAGEIF($C$22:$C$69,"*ECONOMÍA*",BH22:BH69)),"")</f>
        <v/>
      </c>
      <c r="BI73" s="175" t="str">
        <f>IFERROR(INDEX(TablaMaxCalifPos[],MATCH(BI16,HALLAZGOS,0),MATCH($B$8,TablaMaxCalifPos[#Headers],0))*IFERROR(SEARCH("*FISCAL*",BI16,1)*(1-(BI17/BI9)),1)*(AVERAGEIF($C$22:$C$69,"*ECONOMÍA*",BI22:BI69)),"")</f>
        <v/>
      </c>
      <c r="BJ73" s="175" t="str">
        <f>IFERROR(INDEX(TablaMaxCalifPos[],MATCH(BJ16,HALLAZGOS,0),MATCH($B$8,TablaMaxCalifPos[#Headers],0))*IFERROR(SEARCH("*FISCAL*",BJ16,1)*(1-(BJ17/BJ9)),1)*(AVERAGEIF($C$22:$C$69,"*ECONOMÍA*",BJ22:BJ69)),"")</f>
        <v/>
      </c>
      <c r="BK73" s="175" t="str">
        <f>IFERROR(INDEX(TablaMaxCalifPos[],MATCH(BK16,HALLAZGOS,0),MATCH($B$8,TablaMaxCalifPos[#Headers],0))*IFERROR(SEARCH("*FISCAL*",BK16,1)*(1-(BK17/BK9)),1)*(AVERAGEIF($C$22:$C$69,"*ECONOMÍA*",BK22:BK69)),"")</f>
        <v/>
      </c>
      <c r="BL73" s="175" t="str">
        <f>IFERROR(INDEX(TablaMaxCalifPos[],MATCH(BL16,HALLAZGOS,0),MATCH($B$8,TablaMaxCalifPos[#Headers],0))*IFERROR(SEARCH("*FISCAL*",BL16,1)*(1-(BL17/BL9)),1)*(AVERAGEIF($C$22:$C$69,"*ECONOMÍA*",BL22:BL69)),"")</f>
        <v/>
      </c>
      <c r="BM73" s="175" t="str">
        <f>IFERROR(INDEX(TablaMaxCalifPos[],MATCH(BM16,HALLAZGOS,0),MATCH($B$8,TablaMaxCalifPos[#Headers],0))*IFERROR(SEARCH("*FISCAL*",BM16,1)*(1-(BM17/BM9)),1)*(AVERAGEIF($C$22:$C$69,"*ECONOMÍA*",BM22:BM69)),"")</f>
        <v/>
      </c>
      <c r="BN73" s="175" t="str">
        <f>IFERROR(INDEX(TablaMaxCalifPos[],MATCH(BN16,HALLAZGOS,0),MATCH($B$8,TablaMaxCalifPos[#Headers],0))*IFERROR(SEARCH("*FISCAL*",BN16,1)*(1-(BN17/BN9)),1)*(AVERAGEIF($C$22:$C$69,"*ECONOMÍA*",BN22:BN69)),"")</f>
        <v/>
      </c>
      <c r="BO73" s="175" t="str">
        <f>IFERROR(INDEX(TablaMaxCalifPos[],MATCH(BO16,HALLAZGOS,0),MATCH($B$8,TablaMaxCalifPos[#Headers],0))*IFERROR(SEARCH("*FISCAL*",BO16,1)*(1-(BO17/BO9)),1)*(AVERAGEIF($C$22:$C$69,"*ECONOMÍA*",BO22:BO69)),"")</f>
        <v/>
      </c>
      <c r="BP73" s="175" t="str">
        <f>IFERROR(INDEX(TablaMaxCalifPos[],MATCH(BP16,HALLAZGOS,0),MATCH($B$8,TablaMaxCalifPos[#Headers],0))*IFERROR(SEARCH("*FISCAL*",BP16,1)*(1-(BP17/BP9)),1)*(AVERAGEIF($C$22:$C$69,"*ECONOMÍA*",BP22:BP69)),"")</f>
        <v/>
      </c>
      <c r="BQ73" s="175" t="str">
        <f>IFERROR(INDEX(TablaMaxCalifPos[],MATCH(BQ16,HALLAZGOS,0),MATCH($B$8,TablaMaxCalifPos[#Headers],0))*IFERROR(SEARCH("*FISCAL*",BQ16,1)*(1-(BQ17/BQ9)),1)*(AVERAGEIF($C$22:$C$69,"*ECONOMÍA*",BQ22:BQ69)),"")</f>
        <v/>
      </c>
      <c r="BR73" s="175" t="str">
        <f>IFERROR(INDEX(TablaMaxCalifPos[],MATCH(BR16,HALLAZGOS,0),MATCH($B$8,TablaMaxCalifPos[#Headers],0))*IFERROR(SEARCH("*FISCAL*",BR16,1)*(1-(BR17/BR9)),1)*(AVERAGEIF($C$22:$C$69,"*ECONOMÍA*",BR22:BR69)),"")</f>
        <v/>
      </c>
      <c r="BS73" s="175" t="str">
        <f>IFERROR(INDEX(TablaMaxCalifPos[],MATCH(BS16,HALLAZGOS,0),MATCH($B$8,TablaMaxCalifPos[#Headers],0))*IFERROR(SEARCH("*FISCAL*",BS16,1)*(1-(BS17/BS9)),1)*(AVERAGEIF($C$22:$C$69,"*ECONOMÍA*",BS22:BS69)),"")</f>
        <v/>
      </c>
      <c r="BT73" s="175" t="str">
        <f>IFERROR(INDEX(TablaMaxCalifPos[],MATCH(BT16,HALLAZGOS,0),MATCH($B$8,TablaMaxCalifPos[#Headers],0))*IFERROR(SEARCH("*FISCAL*",BT16,1)*(1-(BT17/BT9)),1)*(AVERAGEIF($C$22:$C$69,"*ECONOMÍA*",BT22:BT69)),"")</f>
        <v/>
      </c>
      <c r="BU73" s="175" t="str">
        <f>IFERROR(INDEX(TablaMaxCalifPos[],MATCH(BU16,HALLAZGOS,0),MATCH($B$8,TablaMaxCalifPos[#Headers],0))*IFERROR(SEARCH("*FISCAL*",BU16,1)*(1-(BU17/BU9)),1)*(AVERAGEIF($C$22:$C$69,"*ECONOMÍA*",BU22:BU69)),"")</f>
        <v/>
      </c>
      <c r="BV73" s="175" t="str">
        <f>IFERROR(INDEX(TablaMaxCalifPos[],MATCH(BV16,HALLAZGOS,0),MATCH($B$8,TablaMaxCalifPos[#Headers],0))*IFERROR(SEARCH("*FISCAL*",BV16,1)*(1-(BV17/BV9)),1)*(AVERAGEIF($C$22:$C$69,"*ECONOMÍA*",BV22:BV69)),"")</f>
        <v/>
      </c>
      <c r="BW73" s="175" t="str">
        <f>IFERROR(INDEX(TablaMaxCalifPos[],MATCH(BW16,HALLAZGOS,0),MATCH($B$8,TablaMaxCalifPos[#Headers],0))*IFERROR(SEARCH("*FISCAL*",BW16,1)*(1-(BW17/BW9)),1)*(AVERAGEIF($C$22:$C$69,"*ECONOMÍA*",BW22:BW69)),"")</f>
        <v/>
      </c>
      <c r="BX73" s="175" t="str">
        <f>IFERROR(INDEX(TablaMaxCalifPos[],MATCH(BX16,HALLAZGOS,0),MATCH($B$8,TablaMaxCalifPos[#Headers],0))*IFERROR(SEARCH("*FISCAL*",BX16,1)*(1-(BX17/BX9)),1)*(AVERAGEIF($C$22:$C$69,"*ECONOMÍA*",BX22:BX69)),"")</f>
        <v/>
      </c>
      <c r="BY73" s="175" t="str">
        <f>IFERROR(INDEX(TablaMaxCalifPos[],MATCH(BY16,HALLAZGOS,0),MATCH($B$8,TablaMaxCalifPos[#Headers],0))*IFERROR(SEARCH("*FISCAL*",BY16,1)*(1-(BY17/BY9)),1)*(AVERAGEIF($C$22:$C$69,"*ECONOMÍA*",BY22:BY69)),"")</f>
        <v/>
      </c>
      <c r="BZ73" s="175" t="str">
        <f>IFERROR(INDEX(TablaMaxCalifPos[],MATCH(BZ16,HALLAZGOS,0),MATCH($B$8,TablaMaxCalifPos[#Headers],0))*IFERROR(SEARCH("*FISCAL*",BZ16,1)*(1-(BZ17/BZ9)),1)*(AVERAGEIF($C$22:$C$69,"*ECONOMÍA*",BZ22:BZ69)),"")</f>
        <v/>
      </c>
      <c r="CA73" s="175" t="str">
        <f>IFERROR(INDEX(TablaMaxCalifPos[],MATCH(CA16,HALLAZGOS,0),MATCH($B$8,TablaMaxCalifPos[#Headers],0))*IFERROR(SEARCH("*FISCAL*",CA16,1)*(1-(CA17/CA9)),1)*(AVERAGEIF($C$22:$C$69,"*ECONOMÍA*",CA22:CA69)),"")</f>
        <v/>
      </c>
      <c r="CB73" s="175" t="str">
        <f>IFERROR(INDEX(TablaMaxCalifPos[],MATCH(CB16,HALLAZGOS,0),MATCH($B$8,TablaMaxCalifPos[#Headers],0))*IFERROR(SEARCH("*FISCAL*",CB16,1)*(1-(CB17/CB9)),1)*(AVERAGEIF($C$22:$C$69,"*ECONOMÍA*",CB22:CB69)),"")</f>
        <v/>
      </c>
      <c r="CC73" s="175" t="str">
        <f>IFERROR(INDEX(TablaMaxCalifPos[],MATCH(CC16,HALLAZGOS,0),MATCH($B$8,TablaMaxCalifPos[#Headers],0))*IFERROR(SEARCH("*FISCAL*",CC16,1)*(1-(CC17/CC9)),1)*(AVERAGEIF($C$22:$C$69,"*ECONOMÍA*",CC22:CC69)),"")</f>
        <v/>
      </c>
      <c r="CD73" s="175" t="str">
        <f>IFERROR(INDEX(TablaMaxCalifPos[],MATCH(CD16,HALLAZGOS,0),MATCH($B$8,TablaMaxCalifPos[#Headers],0))*IFERROR(SEARCH("*FISCAL*",CD16,1)*(1-(CD17/CD9)),1)*(AVERAGEIF($C$22:$C$69,"*ECONOMÍA*",CD22:CD69)),"")</f>
        <v/>
      </c>
      <c r="CE73" s="175" t="str">
        <f>IFERROR(INDEX(TablaMaxCalifPos[],MATCH(CE16,HALLAZGOS,0),MATCH($B$8,TablaMaxCalifPos[#Headers],0))*IFERROR(SEARCH("*FISCAL*",CE16,1)*(1-(CE17/CE9)),1)*(AVERAGEIF($C$22:$C$69,"*ECONOMÍA*",CE22:CE69)),"")</f>
        <v/>
      </c>
      <c r="CF73" s="175" t="str">
        <f>IFERROR(INDEX(TablaMaxCalifPos[],MATCH(CF16,HALLAZGOS,0),MATCH($B$8,TablaMaxCalifPos[#Headers],0))*IFERROR(SEARCH("*FISCAL*",CF16,1)*(1-(CF17/CF9)),1)*(AVERAGEIF($C$22:$C$69,"*ECONOMÍA*",CF22:CF69)),"")</f>
        <v/>
      </c>
      <c r="CG73" s="175" t="str">
        <f>IFERROR(INDEX(TablaMaxCalifPos[],MATCH(CG16,HALLAZGOS,0),MATCH($B$8,TablaMaxCalifPos[#Headers],0))*IFERROR(SEARCH("*FISCAL*",CG16,1)*(1-(CG17/CG9)),1)*(AVERAGEIF($C$22:$C$69,"*ECONOMÍA*",CG22:CG69)),"")</f>
        <v/>
      </c>
      <c r="CH73" s="175" t="str">
        <f>IFERROR(INDEX(TablaMaxCalifPos[],MATCH(CH16,HALLAZGOS,0),MATCH($B$8,TablaMaxCalifPos[#Headers],0))*IFERROR(SEARCH("*FISCAL*",CH16,1)*(1-(CH17/CH9)),1)*(AVERAGEIF($C$22:$C$69,"*ECONOMÍA*",CH22:CH69)),"")</f>
        <v/>
      </c>
      <c r="CI73" s="175" t="str">
        <f>IFERROR(INDEX(TablaMaxCalifPos[],MATCH(CI16,HALLAZGOS,0),MATCH($B$8,TablaMaxCalifPos[#Headers],0))*IFERROR(SEARCH("*FISCAL*",CI16,1)*(1-(CI17/CI9)),1)*(AVERAGEIF($C$22:$C$69,"*ECONOMÍA*",CI22:CI69)),"")</f>
        <v/>
      </c>
      <c r="CJ73" s="175" t="str">
        <f>IFERROR(INDEX(TablaMaxCalifPos[],MATCH(CJ16,HALLAZGOS,0),MATCH($B$8,TablaMaxCalifPos[#Headers],0))*IFERROR(SEARCH("*FISCAL*",CJ16,1)*(1-(CJ17/CJ9)),1)*(AVERAGEIF($C$22:$C$69,"*ECONOMÍA*",CJ22:CJ69)),"")</f>
        <v/>
      </c>
      <c r="CK73" s="175" t="str">
        <f>IFERROR(INDEX(TablaMaxCalifPos[],MATCH(CK16,HALLAZGOS,0),MATCH($B$8,TablaMaxCalifPos[#Headers],0))*IFERROR(SEARCH("*FISCAL*",CK16,1)*(1-(CK17/CK9)),1)*(AVERAGEIF($C$22:$C$69,"*ECONOMÍA*",CK22:CK69)),"")</f>
        <v/>
      </c>
      <c r="CL73" s="175" t="str">
        <f>IFERROR(INDEX(TablaMaxCalifPos[],MATCH(CL16,HALLAZGOS,0),MATCH($B$8,TablaMaxCalifPos[#Headers],0))*IFERROR(SEARCH("*FISCAL*",CL16,1)*(1-(CL17/CL9)),1)*(AVERAGEIF($C$22:$C$69,"*ECONOMÍA*",CL22:CL69)),"")</f>
        <v/>
      </c>
      <c r="CM73" s="175" t="str">
        <f>IFERROR(INDEX(TablaMaxCalifPos[],MATCH(CM16,HALLAZGOS,0),MATCH($B$8,TablaMaxCalifPos[#Headers],0))*IFERROR(SEARCH("*FISCAL*",CM16,1)*(1-(CM17/CM9)),1)*(AVERAGEIF($C$22:$C$69,"*ECONOMÍA*",CM22:CM69)),"")</f>
        <v/>
      </c>
      <c r="CN73" s="175" t="str">
        <f>IFERROR(INDEX(TablaMaxCalifPos[],MATCH(CN16,HALLAZGOS,0),MATCH($B$8,TablaMaxCalifPos[#Headers],0))*IFERROR(SEARCH("*FISCAL*",CN16,1)*(1-(CN17/CN9)),1)*(AVERAGEIF($C$22:$C$69,"*ECONOMÍA*",CN22:CN69)),"")</f>
        <v/>
      </c>
      <c r="CO73" s="175" t="str">
        <f>IFERROR(INDEX(TablaMaxCalifPos[],MATCH(CO16,HALLAZGOS,0),MATCH($B$8,TablaMaxCalifPos[#Headers],0))*IFERROR(SEARCH("*FISCAL*",CO16,1)*(1-(CO17/CO9)),1)*(AVERAGEIF($C$22:$C$69,"*ECONOMÍA*",CO22:CO69)),"")</f>
        <v/>
      </c>
      <c r="CP73" s="175" t="str">
        <f>IFERROR(INDEX(TablaMaxCalifPos[],MATCH(CP16,HALLAZGOS,0),MATCH($B$8,TablaMaxCalifPos[#Headers],0))*IFERROR(SEARCH("*FISCAL*",CP16,1)*(1-(CP17/CP9)),1)*(AVERAGEIF($C$22:$C$69,"*ECONOMÍA*",CP22:CP69)),"")</f>
        <v/>
      </c>
      <c r="CQ73" s="175" t="str">
        <f>IFERROR(INDEX(TablaMaxCalifPos[],MATCH(CQ16,HALLAZGOS,0),MATCH($B$8,TablaMaxCalifPos[#Headers],0))*IFERROR(SEARCH("*FISCAL*",CQ16,1)*(1-(CQ17/CQ9)),1)*(AVERAGEIF($C$22:$C$69,"*ECONOMÍA*",CQ22:CQ69)),"")</f>
        <v/>
      </c>
      <c r="CR73" s="175" t="str">
        <f>IFERROR(INDEX(TablaMaxCalifPos[],MATCH(CR16,HALLAZGOS,0),MATCH($B$8,TablaMaxCalifPos[#Headers],0))*IFERROR(SEARCH("*FISCAL*",CR16,1)*(1-(CR17/CR9)),1)*(AVERAGEIF($C$22:$C$69,"*ECONOMÍA*",CR22:CR69)),"")</f>
        <v/>
      </c>
      <c r="CS73" s="175" t="str">
        <f>IFERROR(INDEX(TablaMaxCalifPos[],MATCH(CS16,HALLAZGOS,0),MATCH($B$8,TablaMaxCalifPos[#Headers],0))*IFERROR(SEARCH("*FISCAL*",CS16,1)*(1-(CS17/CS9)),1)*(AVERAGEIF($C$22:$C$69,"*ECONOMÍA*",CS22:CS69)),"")</f>
        <v/>
      </c>
      <c r="CT73" s="175" t="str">
        <f>IFERROR(INDEX(TablaMaxCalifPos[],MATCH(CT16,HALLAZGOS,0),MATCH($B$8,TablaMaxCalifPos[#Headers],0))*IFERROR(SEARCH("*FISCAL*",CT16,1)*(1-(CT17/CT9)),1)*(AVERAGEIF($C$22:$C$69,"*ECONOMÍA*",CT22:CT69)),"")</f>
        <v/>
      </c>
      <c r="CU73" s="175" t="str">
        <f>IFERROR(INDEX(TablaMaxCalifPos[],MATCH(CU16,HALLAZGOS,0),MATCH($B$8,TablaMaxCalifPos[#Headers],0))*IFERROR(SEARCH("*FISCAL*",CU16,1)*(1-(CU17/CU9)),1)*(AVERAGEIF($C$22:$C$69,"*ECONOMÍA*",CU22:CU69)),"")</f>
        <v/>
      </c>
      <c r="CV73" s="175" t="str">
        <f>IFERROR(INDEX(TablaMaxCalifPos[],MATCH(CV16,HALLAZGOS,0),MATCH($B$8,TablaMaxCalifPos[#Headers],0))*IFERROR(SEARCH("*FISCAL*",CV16,1)*(1-(CV17/CV9)),1)*(AVERAGEIF($C$22:$C$69,"*ECONOMÍA*",CV22:CV69)),"")</f>
        <v/>
      </c>
      <c r="CW73" s="175" t="str">
        <f>IFERROR(INDEX(TablaMaxCalifPos[],MATCH(CW16,HALLAZGOS,0),MATCH($B$8,TablaMaxCalifPos[#Headers],0))*IFERROR(SEARCH("*FISCAL*",CW16,1)*(1-(CW17/CW9)),1)*(AVERAGEIF($C$22:$C$69,"*ECONOMÍA*",CW22:CW69)),"")</f>
        <v/>
      </c>
      <c r="CX73" s="175" t="str">
        <f>IFERROR(INDEX(TablaMaxCalifPos[],MATCH(CX16,HALLAZGOS,0),MATCH($B$8,TablaMaxCalifPos[#Headers],0))*IFERROR(SEARCH("*FISCAL*",CX16,1)*(1-(CX17/CX9)),1)*(AVERAGEIF($C$22:$C$69,"*ECONOMÍA*",CX22:CX69)),"")</f>
        <v/>
      </c>
      <c r="CY73" s="175" t="str">
        <f>IFERROR(INDEX(TablaMaxCalifPos[],MATCH(CY16,HALLAZGOS,0),MATCH($B$8,TablaMaxCalifPos[#Headers],0))*IFERROR(SEARCH("*FISCAL*",CY16,1)*(1-(CY17/CY9)),1)*(AVERAGEIF($C$22:$C$69,"*ECONOMÍA*",CY22:CY69)),"")</f>
        <v/>
      </c>
    </row>
    <row r="74" spans="1:105" s="176" customFormat="1" ht="17.399999999999999" x14ac:dyDescent="0.3">
      <c r="C74" s="1572"/>
      <c r="D74" s="174" t="s">
        <v>273</v>
      </c>
      <c r="E74" s="1182">
        <f>IFERROR(INDEX(TablaMaxCalifPos[],MATCH(E16,HALLAZGOS,0),MATCH($B$8,TablaMaxCalifPos[#Headers],0))*IFERROR(SEARCH("*FISCAL*",E16,1)*(1-(E17/E9)),1)*(AVERAGEIF($C$22:$C$69,"*EFICIENCIA*",E22:E69)),"")</f>
        <v>0.6825</v>
      </c>
      <c r="F74" s="1182">
        <f>IFERROR(INDEX(TablaMaxCalifPos[],MATCH(F16,HALLAZGOS,0),MATCH($B$8,TablaMaxCalifPos[#Headers],0))*IFERROR(SEARCH("*FISCAL*",F16,1)*(1-(F17/F9)),1)*(AVERAGEIF($C$22:$C$69,"*EFICIENCIA*",F22:F69)),"")</f>
        <v>0.69600000000000006</v>
      </c>
      <c r="G74" s="1182">
        <f>IFERROR(INDEX(TablaMaxCalifPos[],MATCH(G16,HALLAZGOS,0),MATCH($B$8,TablaMaxCalifPos[#Headers],0))*IFERROR(SEARCH("*FISCAL*",G16,1)*(1-(G17/G9)),1)*(AVERAGEIF($C$22:$C$69,"*EFICIENCIA*",G22:G69)),"")</f>
        <v>0.19780373831775699</v>
      </c>
      <c r="H74" s="1182">
        <f>IFERROR(INDEX(TablaMaxCalifPos[],MATCH(H16,HALLAZGOS,0),MATCH($B$8,TablaMaxCalifPos[#Headers],0))*IFERROR(SEARCH("*FISCAL*",H16,1)*(1-(H17/H9)),1)*(AVERAGEIF($C$22:$C$69,"*EFICIENCIA*",H22:H69)),"")</f>
        <v>0.87749999999999995</v>
      </c>
      <c r="I74" s="1182">
        <f>IFERROR(INDEX(TablaMaxCalifPos[],MATCH(I16,HALLAZGOS,0),MATCH($B$8,TablaMaxCalifPos[#Headers],0))*IFERROR(SEARCH("*FISCAL*",I16,1)*(1-(I17/I9)),1)*(AVERAGEIF($C$22:$C$69,"*EFICIENCIA*",I22:I69)),"")</f>
        <v>0.95</v>
      </c>
      <c r="J74" s="1182">
        <f>IFERROR(INDEX(TablaMaxCalifPos[],MATCH(J16,HALLAZGOS,0),MATCH($B$8,TablaMaxCalifPos[#Headers],0))*IFERROR(SEARCH("*FISCAL*",J16,1)*(1-(J17/J9)),1)*(AVERAGEIF($C$22:$C$69,"*EFICIENCIA*",J22:J69)),"")</f>
        <v>0.76</v>
      </c>
      <c r="K74" s="1182">
        <f>IFERROR(INDEX(TablaMaxCalifPos[],MATCH(K16,HALLAZGOS,0),MATCH($B$8,TablaMaxCalifPos[#Headers],0))*IFERROR(SEARCH("*FISCAL*",K16,1)*(1-(K17/K9)),1)*(AVERAGEIF($C$22:$C$69,"*EFICIENCIA*",K22:K69)),"")</f>
        <v>0.82000000000000006</v>
      </c>
      <c r="L74" s="1182" t="str">
        <f>IFERROR(INDEX(TablaMaxCalifPos[],MATCH(L16,HALLAZGOS,0),MATCH($B$8,TablaMaxCalifPos[#Headers],0))*IFERROR(SEARCH("*FISCAL*",L16,1)*(1-(L17/L9)),1)*(AVERAGEIF($C$22:$C$69,"*EFICIENCIA*",L22:L69)),"")</f>
        <v/>
      </c>
      <c r="M74" s="1182" t="str">
        <f>IFERROR(INDEX(TablaMaxCalifPos[],MATCH(M16,HALLAZGOS,0),MATCH($B$8,TablaMaxCalifPos[#Headers],0))*IFERROR(SEARCH("*FISCAL*",M16,1)*(1-(M17/M9)),1)*(AVERAGEIF($C$22:$C$69,"*EFICIENCIA*",M22:M69)),"")</f>
        <v/>
      </c>
      <c r="N74" s="1182" t="str">
        <f>IFERROR(INDEX(TablaMaxCalifPos[],MATCH(N16,HALLAZGOS,0),MATCH($B$8,TablaMaxCalifPos[#Headers],0))*IFERROR(SEARCH("*FISCAL*",N16,1)*(1-(N17/N9)),1)*(AVERAGEIF($C$22:$C$69,"*EFICIENCIA*",N22:N69)),"")</f>
        <v/>
      </c>
      <c r="O74" s="1182" t="str">
        <f>IFERROR(INDEX(TablaMaxCalifPos[],MATCH(O16,HALLAZGOS,0),MATCH($B$8,TablaMaxCalifPos[#Headers],0))*IFERROR(SEARCH("*FISCAL*",O16,1)*(1-(O17/O9)),1)*(AVERAGEIF($C$22:$C$69,"*EFICIENCIA*",O22:O69)),"")</f>
        <v/>
      </c>
      <c r="P74" s="1182" t="str">
        <f>IFERROR(INDEX(TablaMaxCalifPos[],MATCH(P16,HALLAZGOS,0),MATCH($B$8,TablaMaxCalifPos[#Headers],0))*IFERROR(SEARCH("*FISCAL*",P16,1)*(1-(P17/P9)),1)*(AVERAGEIF($C$22:$C$69,"*EFICIENCIA*",P22:P69)),"")</f>
        <v/>
      </c>
      <c r="Q74" s="1182" t="str">
        <f>IFERROR(INDEX(TablaMaxCalifPos[],MATCH(Q16,HALLAZGOS,0),MATCH($B$8,TablaMaxCalifPos[#Headers],0))*IFERROR(SEARCH("*FISCAL*",Q16,1)*(1-(Q17/Q9)),1)*(AVERAGEIF($C$22:$C$69,"*EFICIENCIA*",Q22:Q69)),"")</f>
        <v/>
      </c>
      <c r="R74" s="1182" t="str">
        <f>IFERROR(INDEX(TablaMaxCalifPos[],MATCH(R16,HALLAZGOS,0),MATCH($B$8,TablaMaxCalifPos[#Headers],0))*IFERROR(SEARCH("*FISCAL*",R16,1)*(1-(R17/R9)),1)*(AVERAGEIF($C$22:$C$69,"*EFICIENCIA*",R22:R69)),"")</f>
        <v/>
      </c>
      <c r="S74" s="1182" t="str">
        <f>IFERROR(INDEX(TablaMaxCalifPos[],MATCH(S16,HALLAZGOS,0),MATCH($B$8,TablaMaxCalifPos[#Headers],0))*IFERROR(SEARCH("*FISCAL*",S16,1)*(1-(S17/S9)),1)*(AVERAGEIF($C$22:$C$69,"*EFICIENCIA*",S22:S69)),"")</f>
        <v/>
      </c>
      <c r="T74" s="1182" t="str">
        <f>IFERROR(INDEX(TablaMaxCalifPos[],MATCH(T16,HALLAZGOS,0),MATCH($B$8,TablaMaxCalifPos[#Headers],0))*IFERROR(SEARCH("*FISCAL*",T16,1)*(1-(T17/T9)),1)*(AVERAGEIF($C$22:$C$69,"*EFICIENCIA*",T22:T69)),"")</f>
        <v/>
      </c>
      <c r="U74" s="1182" t="str">
        <f>IFERROR(INDEX(TablaMaxCalifPos[],MATCH(U16,HALLAZGOS,0),MATCH($B$8,TablaMaxCalifPos[#Headers],0))*IFERROR(SEARCH("*FISCAL*",U16,1)*(1-(U17/U9)),1)*(AVERAGEIF($C$22:$C$69,"*EFICIENCIA*",U22:U69)),"")</f>
        <v/>
      </c>
      <c r="V74" s="1182" t="str">
        <f>IFERROR(INDEX(TablaMaxCalifPos[],MATCH(V16,HALLAZGOS,0),MATCH($B$8,TablaMaxCalifPos[#Headers],0))*IFERROR(SEARCH("*FISCAL*",V16,1)*(1-(V17/V9)),1)*(AVERAGEIF($C$22:$C$69,"*EFICIENCIA*",V22:V69)),"")</f>
        <v/>
      </c>
      <c r="W74" s="1182" t="str">
        <f>IFERROR(INDEX(TablaMaxCalifPos[],MATCH(W16,HALLAZGOS,0),MATCH($B$8,TablaMaxCalifPos[#Headers],0))*IFERROR(SEARCH("*FISCAL*",W16,1)*(1-(W17/W9)),1)*(AVERAGEIF($C$22:$C$69,"*EFICIENCIA*",W22:W69)),"")</f>
        <v/>
      </c>
      <c r="X74" s="1182" t="str">
        <f>IFERROR(INDEX(TablaMaxCalifPos[],MATCH(X16,HALLAZGOS,0),MATCH($B$8,TablaMaxCalifPos[#Headers],0))*IFERROR(SEARCH("*FISCAL*",X16,1)*(1-(X17/X9)),1)*(AVERAGEIF($C$22:$C$69,"*EFICIENCIA*",X22:X69)),"")</f>
        <v/>
      </c>
      <c r="Y74" s="1182" t="str">
        <f>IFERROR(INDEX(TablaMaxCalifPos[],MATCH(Y16,HALLAZGOS,0),MATCH($B$8,TablaMaxCalifPos[#Headers],0))*IFERROR(SEARCH("*FISCAL*",Y16,1)*(1-(Y17/Y9)),1)*(AVERAGEIF($C$22:$C$69,"*EFICIENCIA*",Y22:Y69)),"")</f>
        <v/>
      </c>
      <c r="Z74" s="1182" t="str">
        <f>IFERROR(INDEX(TablaMaxCalifPos[],MATCH(Z16,HALLAZGOS,0),MATCH($B$8,TablaMaxCalifPos[#Headers],0))*IFERROR(SEARCH("*FISCAL*",Z16,1)*(1-(Z17/Z9)),1)*(AVERAGEIF($C$22:$C$69,"*EFICIENCIA*",Z22:Z69)),"")</f>
        <v/>
      </c>
      <c r="AA74" s="1182" t="str">
        <f>IFERROR(INDEX(TablaMaxCalifPos[],MATCH(AA16,HALLAZGOS,0),MATCH($B$8,TablaMaxCalifPos[#Headers],0))*IFERROR(SEARCH("*FISCAL*",AA16,1)*(1-(AA17/AA9)),1)*(AVERAGEIF($C$22:$C$69,"*EFICIENCIA*",AA22:AA69)),"")</f>
        <v/>
      </c>
      <c r="AB74" s="1182" t="str">
        <f>IFERROR(INDEX(TablaMaxCalifPos[],MATCH(AB16,HALLAZGOS,0),MATCH($B$8,TablaMaxCalifPos[#Headers],0))*IFERROR(SEARCH("*FISCAL*",AB16,1)*(1-(AB17/AB9)),1)*(AVERAGEIF($C$22:$C$69,"*EFICIENCIA*",AB22:AB69)),"")</f>
        <v/>
      </c>
      <c r="AC74" s="1182" t="str">
        <f>IFERROR(INDEX(TablaMaxCalifPos[],MATCH(AC16,HALLAZGOS,0),MATCH($B$8,TablaMaxCalifPos[#Headers],0))*IFERROR(SEARCH("*FISCAL*",AC16,1)*(1-(AC17/AC9)),1)*(AVERAGEIF($C$22:$C$69,"*EFICIENCIA*",AC22:AC69)),"")</f>
        <v/>
      </c>
      <c r="AD74" s="1182" t="str">
        <f>IFERROR(INDEX(TablaMaxCalifPos[],MATCH(AD16,HALLAZGOS,0),MATCH($B$8,TablaMaxCalifPos[#Headers],0))*IFERROR(SEARCH("*FISCAL*",AD16,1)*(1-(AD17/AD9)),1)*(AVERAGEIF($C$22:$C$69,"*EFICIENCIA*",AD22:AD69)),"")</f>
        <v/>
      </c>
      <c r="AE74" s="1182" t="str">
        <f>IFERROR(INDEX(TablaMaxCalifPos[],MATCH(AE16,HALLAZGOS,0),MATCH($B$8,TablaMaxCalifPos[#Headers],0))*IFERROR(SEARCH("*FISCAL*",AE16,1)*(1-(AE17/AE9)),1)*(AVERAGEIF($C$22:$C$69,"*EFICIENCIA*",AE22:AE69)),"")</f>
        <v/>
      </c>
      <c r="AF74" s="1182" t="str">
        <f>IFERROR(INDEX(TablaMaxCalifPos[],MATCH(AF16,HALLAZGOS,0),MATCH($B$8,TablaMaxCalifPos[#Headers],0))*IFERROR(SEARCH("*FISCAL*",AF16,1)*(1-(AF17/AF9)),1)*(AVERAGEIF($C$22:$C$69,"*EFICIENCIA*",AF22:AF69)),"")</f>
        <v/>
      </c>
      <c r="AG74" s="1182" t="str">
        <f>IFERROR(INDEX(TablaMaxCalifPos[],MATCH(AG16,HALLAZGOS,0),MATCH($B$8,TablaMaxCalifPos[#Headers],0))*IFERROR(SEARCH("*FISCAL*",AG16,1)*(1-(AG17/AG9)),1)*(AVERAGEIF($C$22:$C$69,"*EFICIENCIA*",AG22:AG69)),"")</f>
        <v/>
      </c>
      <c r="AH74" s="1182" t="str">
        <f>IFERROR(INDEX(TablaMaxCalifPos[],MATCH(AH16,HALLAZGOS,0),MATCH($B$8,TablaMaxCalifPos[#Headers],0))*IFERROR(SEARCH("*FISCAL*",AH16,1)*(1-(AH17/AH9)),1)*(AVERAGEIF($C$22:$C$69,"*EFICIENCIA*",AH22:AH69)),"")</f>
        <v/>
      </c>
      <c r="AI74" s="1182" t="str">
        <f>IFERROR(INDEX(TablaMaxCalifPos[],MATCH(AI16,HALLAZGOS,0),MATCH($B$8,TablaMaxCalifPos[#Headers],0))*IFERROR(SEARCH("*FISCAL*",AI16,1)*(1-(AI17/AI9)),1)*(AVERAGEIF($C$22:$C$69,"*EFICIENCIA*",AI22:AI69)),"")</f>
        <v/>
      </c>
      <c r="AJ74" s="1182" t="str">
        <f>IFERROR(INDEX(TablaMaxCalifPos[],MATCH(AJ16,HALLAZGOS,0),MATCH($B$8,TablaMaxCalifPos[#Headers],0))*IFERROR(SEARCH("*FISCAL*",AJ16,1)*(1-(AJ17/AJ9)),1)*(AVERAGEIF($C$22:$C$69,"*EFICIENCIA*",AJ22:AJ69)),"")</f>
        <v/>
      </c>
      <c r="AK74" s="1182" t="str">
        <f>IFERROR(INDEX(TablaMaxCalifPos[],MATCH(AK16,HALLAZGOS,0),MATCH($B$8,TablaMaxCalifPos[#Headers],0))*IFERROR(SEARCH("*FISCAL*",AK16,1)*(1-(AK17/AK9)),1)*(AVERAGEIF($C$22:$C$69,"*EFICIENCIA*",AK22:AK69)),"")</f>
        <v/>
      </c>
      <c r="AL74" s="1182" t="str">
        <f>IFERROR(INDEX(TablaMaxCalifPos[],MATCH(AL16,HALLAZGOS,0),MATCH($B$8,TablaMaxCalifPos[#Headers],0))*IFERROR(SEARCH("*FISCAL*",AL16,1)*(1-(AL17/AL9)),1)*(AVERAGEIF($C$22:$C$69,"*EFICIENCIA*",AL22:AL69)),"")</f>
        <v/>
      </c>
      <c r="AM74" s="1182" t="str">
        <f>IFERROR(INDEX(TablaMaxCalifPos[],MATCH(AM16,HALLAZGOS,0),MATCH($B$8,TablaMaxCalifPos[#Headers],0))*IFERROR(SEARCH("*FISCAL*",AM16,1)*(1-(AM17/AM9)),1)*(AVERAGEIF($C$22:$C$69,"*EFICIENCIA*",AM22:AM69)),"")</f>
        <v/>
      </c>
      <c r="AN74" s="1182" t="str">
        <f>IFERROR(INDEX(TablaMaxCalifPos[],MATCH(AN16,HALLAZGOS,0),MATCH($B$8,TablaMaxCalifPos[#Headers],0))*IFERROR(SEARCH("*FISCAL*",AN16,1)*(1-(AN17/AN9)),1)*(AVERAGEIF($C$22:$C$69,"*EFICIENCIA*",AN22:AN69)),"")</f>
        <v/>
      </c>
      <c r="AO74" s="1182" t="str">
        <f>IFERROR(INDEX(TablaMaxCalifPos[],MATCH(AO16,HALLAZGOS,0),MATCH($B$8,TablaMaxCalifPos[#Headers],0))*IFERROR(SEARCH("*FISCAL*",AO16,1)*(1-(AO17/AO9)),1)*(AVERAGEIF($C$22:$C$69,"*EFICIENCIA*",AO22:AO69)),"")</f>
        <v/>
      </c>
      <c r="AP74" s="1182" t="str">
        <f>IFERROR(INDEX(TablaMaxCalifPos[],MATCH(AP16,HALLAZGOS,0),MATCH($B$8,TablaMaxCalifPos[#Headers],0))*IFERROR(SEARCH("*FISCAL*",AP16,1)*(1-(AP17/AP9)),1)*(AVERAGEIF($C$22:$C$69,"*EFICIENCIA*",AP22:AP69)),"")</f>
        <v/>
      </c>
      <c r="AQ74" s="1182" t="str">
        <f>IFERROR(INDEX(TablaMaxCalifPos[],MATCH(AQ16,HALLAZGOS,0),MATCH($B$8,TablaMaxCalifPos[#Headers],0))*IFERROR(SEARCH("*FISCAL*",AQ16,1)*(1-(AQ17/AQ9)),1)*(AVERAGEIF($C$22:$C$69,"*EFICIENCIA*",AQ22:AQ69)),"")</f>
        <v/>
      </c>
      <c r="AR74" s="1182" t="str">
        <f>IFERROR(INDEX(TablaMaxCalifPos[],MATCH(AR16,HALLAZGOS,0),MATCH($B$8,TablaMaxCalifPos[#Headers],0))*IFERROR(SEARCH("*FISCAL*",AR16,1)*(1-(AR17/AR9)),1)*(AVERAGEIF($C$22:$C$69,"*EFICIENCIA*",AR22:AR69)),"")</f>
        <v/>
      </c>
      <c r="AS74" s="1182" t="str">
        <f>IFERROR(INDEX(TablaMaxCalifPos[],MATCH(AS16,HALLAZGOS,0),MATCH($B$8,TablaMaxCalifPos[#Headers],0))*IFERROR(SEARCH("*FISCAL*",AS16,1)*(1-(AS17/AS9)),1)*(AVERAGEIF($C$22:$C$69,"*EFICIENCIA*",AS22:AS69)),"")</f>
        <v/>
      </c>
      <c r="AT74" s="1182" t="str">
        <f>IFERROR(INDEX(TablaMaxCalifPos[],MATCH(AT16,HALLAZGOS,0),MATCH($B$8,TablaMaxCalifPos[#Headers],0))*IFERROR(SEARCH("*FISCAL*",AT16,1)*(1-(AT17/AT9)),1)*(AVERAGEIF($C$22:$C$69,"*EFICIENCIA*",AT22:AT69)),"")</f>
        <v/>
      </c>
      <c r="AU74" s="1182" t="str">
        <f>IFERROR(INDEX(TablaMaxCalifPos[],MATCH(AU16,HALLAZGOS,0),MATCH($B$8,TablaMaxCalifPos[#Headers],0))*IFERROR(SEARCH("*FISCAL*",AU16,1)*(1-(AU17/AU9)),1)*(AVERAGEIF($C$22:$C$69,"*EFICIENCIA*",AU22:AU69)),"")</f>
        <v/>
      </c>
      <c r="AV74" s="1182" t="str">
        <f>IFERROR(INDEX(TablaMaxCalifPos[],MATCH(AV16,HALLAZGOS,0),MATCH($B$8,TablaMaxCalifPos[#Headers],0))*IFERROR(SEARCH("*FISCAL*",AV16,1)*(1-(AV17/AV9)),1)*(AVERAGEIF($C$22:$C$69,"*EFICIENCIA*",AV22:AV69)),"")</f>
        <v/>
      </c>
      <c r="AW74" s="1182" t="str">
        <f>IFERROR(INDEX(TablaMaxCalifPos[],MATCH(AW16,HALLAZGOS,0),MATCH($B$8,TablaMaxCalifPos[#Headers],0))*IFERROR(SEARCH("*FISCAL*",AW16,1)*(1-(AW17/AW9)),1)*(AVERAGEIF($C$22:$C$69,"*EFICIENCIA*",AW22:AW69)),"")</f>
        <v/>
      </c>
      <c r="AX74" s="1182" t="str">
        <f>IFERROR(INDEX(TablaMaxCalifPos[],MATCH(AX16,HALLAZGOS,0),MATCH($B$8,TablaMaxCalifPos[#Headers],0))*IFERROR(SEARCH("*FISCAL*",AX16,1)*(1-(AX17/AX9)),1)*(AVERAGEIF($C$22:$C$69,"*EFICIENCIA*",AX22:AX69)),"")</f>
        <v/>
      </c>
      <c r="AY74" s="1182" t="str">
        <f>IFERROR(INDEX(TablaMaxCalifPos[],MATCH(AY16,HALLAZGOS,0),MATCH($B$8,TablaMaxCalifPos[#Headers],0))*IFERROR(SEARCH("*FISCAL*",AY16,1)*(1-(AY17/AY9)),1)*(AVERAGEIF($C$22:$C$69,"*EFICIENCIA*",AY22:AY69)),"")</f>
        <v/>
      </c>
      <c r="AZ74" s="1182" t="str">
        <f>IFERROR(INDEX(TablaMaxCalifPos[],MATCH(AZ16,HALLAZGOS,0),MATCH($B$8,TablaMaxCalifPos[#Headers],0))*IFERROR(SEARCH("*FISCAL*",AZ16,1)*(1-(AZ17/AZ9)),1)*(AVERAGEIF($C$22:$C$69,"*EFICIENCIA*",AZ22:AZ69)),"")</f>
        <v/>
      </c>
      <c r="BA74" s="1182" t="str">
        <f>IFERROR(INDEX(TablaMaxCalifPos[],MATCH(BA16,HALLAZGOS,0),MATCH($B$8,TablaMaxCalifPos[#Headers],0))*IFERROR(SEARCH("*FISCAL*",BA16,1)*(1-(BA17/BA9)),1)*(AVERAGEIF($C$22:$C$69,"*EFICIENCIA*",BA22:BA69)),"")</f>
        <v/>
      </c>
      <c r="BB74" s="1182" t="str">
        <f>IFERROR(INDEX(TablaMaxCalifPos[],MATCH(BB16,HALLAZGOS,0),MATCH($B$8,TablaMaxCalifPos[#Headers],0))*IFERROR(SEARCH("*FISCAL*",BB16,1)*(1-(BB17/BB9)),1)*(AVERAGEIF($C$22:$C$69,"*EFICIENCIA*",BB22:BB69)),"")</f>
        <v/>
      </c>
      <c r="BC74" s="1182" t="str">
        <f>IFERROR(INDEX(TablaMaxCalifPos[],MATCH(BC16,HALLAZGOS,0),MATCH($B$8,TablaMaxCalifPos[#Headers],0))*IFERROR(SEARCH("*FISCAL*",BC16,1)*(1-(BC17/BC9)),1)*(AVERAGEIF($C$22:$C$69,"*EFICIENCIA*",BC22:BC69)),"")</f>
        <v/>
      </c>
      <c r="BD74" s="1182" t="str">
        <f>IFERROR(INDEX(TablaMaxCalifPos[],MATCH(BD16,HALLAZGOS,0),MATCH($B$8,TablaMaxCalifPos[#Headers],0))*IFERROR(SEARCH("*FISCAL*",BD16,1)*(1-(BD17/BD9)),1)*(AVERAGEIF($C$22:$C$69,"*EFICIENCIA*",BD22:BD69)),"")</f>
        <v/>
      </c>
      <c r="BE74" s="1182" t="str">
        <f>IFERROR(INDEX(TablaMaxCalifPos[],MATCH(BE16,HALLAZGOS,0),MATCH($B$8,TablaMaxCalifPos[#Headers],0))*IFERROR(SEARCH("*FISCAL*",BE16,1)*(1-(BE17/BE9)),1)*(AVERAGEIF($C$22:$C$69,"*EFICIENCIA*",BE22:BE69)),"")</f>
        <v/>
      </c>
      <c r="BF74" s="1182" t="str">
        <f>IFERROR(INDEX(TablaMaxCalifPos[],MATCH(BF16,HALLAZGOS,0),MATCH($B$8,TablaMaxCalifPos[#Headers],0))*IFERROR(SEARCH("*FISCAL*",BF16,1)*(1-(BF17/BF9)),1)*(AVERAGEIF($C$22:$C$69,"*EFICIENCIA*",BF22:BF69)),"")</f>
        <v/>
      </c>
      <c r="BG74" s="1182" t="str">
        <f>IFERROR(INDEX(TablaMaxCalifPos[],MATCH(BG16,HALLAZGOS,0),MATCH($B$8,TablaMaxCalifPos[#Headers],0))*IFERROR(SEARCH("*FISCAL*",BG16,1)*(1-(BG17/BG9)),1)*(AVERAGEIF($C$22:$C$69,"*EFICIENCIA*",BG22:BG69)),"")</f>
        <v/>
      </c>
      <c r="BH74" s="1182" t="str">
        <f>IFERROR(INDEX(TablaMaxCalifPos[],MATCH(BH16,HALLAZGOS,0),MATCH($B$8,TablaMaxCalifPos[#Headers],0))*IFERROR(SEARCH("*FISCAL*",BH16,1)*(1-(BH17/BH9)),1)*(AVERAGEIF($C$22:$C$69,"*EFICIENCIA*",BH22:BH69)),"")</f>
        <v/>
      </c>
      <c r="BI74" s="1182" t="str">
        <f>IFERROR(INDEX(TablaMaxCalifPos[],MATCH(BI16,HALLAZGOS,0),MATCH($B$8,TablaMaxCalifPos[#Headers],0))*IFERROR(SEARCH("*FISCAL*",BI16,1)*(1-(BI17/BI9)),1)*(AVERAGEIF($C$22:$C$69,"*EFICIENCIA*",BI22:BI69)),"")</f>
        <v/>
      </c>
      <c r="BJ74" s="1182" t="str">
        <f>IFERROR(INDEX(TablaMaxCalifPos[],MATCH(BJ16,HALLAZGOS,0),MATCH($B$8,TablaMaxCalifPos[#Headers],0))*IFERROR(SEARCH("*FISCAL*",BJ16,1)*(1-(BJ17/BJ9)),1)*(AVERAGEIF($C$22:$C$69,"*EFICIENCIA*",BJ22:BJ69)),"")</f>
        <v/>
      </c>
      <c r="BK74" s="1182" t="str">
        <f>IFERROR(INDEX(TablaMaxCalifPos[],MATCH(BK16,HALLAZGOS,0),MATCH($B$8,TablaMaxCalifPos[#Headers],0))*IFERROR(SEARCH("*FISCAL*",BK16,1)*(1-(BK17/BK9)),1)*(AVERAGEIF($C$22:$C$69,"*EFICIENCIA*",BK22:BK69)),"")</f>
        <v/>
      </c>
      <c r="BL74" s="1182" t="str">
        <f>IFERROR(INDEX(TablaMaxCalifPos[],MATCH(BL16,HALLAZGOS,0),MATCH($B$8,TablaMaxCalifPos[#Headers],0))*IFERROR(SEARCH("*FISCAL*",BL16,1)*(1-(BL17/BL9)),1)*(AVERAGEIF($C$22:$C$69,"*EFICIENCIA*",BL22:BL69)),"")</f>
        <v/>
      </c>
      <c r="BM74" s="1182" t="str">
        <f>IFERROR(INDEX(TablaMaxCalifPos[],MATCH(BM16,HALLAZGOS,0),MATCH($B$8,TablaMaxCalifPos[#Headers],0))*IFERROR(SEARCH("*FISCAL*",BM16,1)*(1-(BM17/BM9)),1)*(AVERAGEIF($C$22:$C$69,"*EFICIENCIA*",BM22:BM69)),"")</f>
        <v/>
      </c>
      <c r="BN74" s="1182" t="str">
        <f>IFERROR(INDEX(TablaMaxCalifPos[],MATCH(BN16,HALLAZGOS,0),MATCH($B$8,TablaMaxCalifPos[#Headers],0))*IFERROR(SEARCH("*FISCAL*",BN16,1)*(1-(BN17/BN9)),1)*(AVERAGEIF($C$22:$C$69,"*EFICIENCIA*",BN22:BN69)),"")</f>
        <v/>
      </c>
      <c r="BO74" s="1182" t="str">
        <f>IFERROR(INDEX(TablaMaxCalifPos[],MATCH(BO16,HALLAZGOS,0),MATCH($B$8,TablaMaxCalifPos[#Headers],0))*IFERROR(SEARCH("*FISCAL*",BO16,1)*(1-(BO17/BO9)),1)*(AVERAGEIF($C$22:$C$69,"*EFICIENCIA*",BO22:BO69)),"")</f>
        <v/>
      </c>
      <c r="BP74" s="1182" t="str">
        <f>IFERROR(INDEX(TablaMaxCalifPos[],MATCH(BP16,HALLAZGOS,0),MATCH($B$8,TablaMaxCalifPos[#Headers],0))*IFERROR(SEARCH("*FISCAL*",BP16,1)*(1-(BP17/BP9)),1)*(AVERAGEIF($C$22:$C$69,"*EFICIENCIA*",BP22:BP69)),"")</f>
        <v/>
      </c>
      <c r="BQ74" s="1182" t="str">
        <f>IFERROR(INDEX(TablaMaxCalifPos[],MATCH(BQ16,HALLAZGOS,0),MATCH($B$8,TablaMaxCalifPos[#Headers],0))*IFERROR(SEARCH("*FISCAL*",BQ16,1)*(1-(BQ17/BQ9)),1)*(AVERAGEIF($C$22:$C$69,"*EFICIENCIA*",BQ22:BQ69)),"")</f>
        <v/>
      </c>
      <c r="BR74" s="1182" t="str">
        <f>IFERROR(INDEX(TablaMaxCalifPos[],MATCH(BR16,HALLAZGOS,0),MATCH($B$8,TablaMaxCalifPos[#Headers],0))*IFERROR(SEARCH("*FISCAL*",BR16,1)*(1-(BR17/BR9)),1)*(AVERAGEIF($C$22:$C$69,"*EFICIENCIA*",BR22:BR69)),"")</f>
        <v/>
      </c>
      <c r="BS74" s="1182" t="str">
        <f>IFERROR(INDEX(TablaMaxCalifPos[],MATCH(BS16,HALLAZGOS,0),MATCH($B$8,TablaMaxCalifPos[#Headers],0))*IFERROR(SEARCH("*FISCAL*",BS16,1)*(1-(BS17/BS9)),1)*(AVERAGEIF($C$22:$C$69,"*EFICIENCIA*",BS22:BS69)),"")</f>
        <v/>
      </c>
      <c r="BT74" s="1182" t="str">
        <f>IFERROR(INDEX(TablaMaxCalifPos[],MATCH(BT16,HALLAZGOS,0),MATCH($B$8,TablaMaxCalifPos[#Headers],0))*IFERROR(SEARCH("*FISCAL*",BT16,1)*(1-(BT17/BT9)),1)*(AVERAGEIF($C$22:$C$69,"*EFICIENCIA*",BT22:BT69)),"")</f>
        <v/>
      </c>
      <c r="BU74" s="1182" t="str">
        <f>IFERROR(INDEX(TablaMaxCalifPos[],MATCH(BU16,HALLAZGOS,0),MATCH($B$8,TablaMaxCalifPos[#Headers],0))*IFERROR(SEARCH("*FISCAL*",BU16,1)*(1-(BU17/BU9)),1)*(AVERAGEIF($C$22:$C$69,"*EFICIENCIA*",BU22:BU69)),"")</f>
        <v/>
      </c>
      <c r="BV74" s="1182" t="str">
        <f>IFERROR(INDEX(TablaMaxCalifPos[],MATCH(BV16,HALLAZGOS,0),MATCH($B$8,TablaMaxCalifPos[#Headers],0))*IFERROR(SEARCH("*FISCAL*",BV16,1)*(1-(BV17/BV9)),1)*(AVERAGEIF($C$22:$C$69,"*EFICIENCIA*",BV22:BV69)),"")</f>
        <v/>
      </c>
      <c r="BW74" s="1182" t="str">
        <f>IFERROR(INDEX(TablaMaxCalifPos[],MATCH(BW16,HALLAZGOS,0),MATCH($B$8,TablaMaxCalifPos[#Headers],0))*IFERROR(SEARCH("*FISCAL*",BW16,1)*(1-(BW17/BW9)),1)*(AVERAGEIF($C$22:$C$69,"*EFICIENCIA*",BW22:BW69)),"")</f>
        <v/>
      </c>
      <c r="BX74" s="1182" t="str">
        <f>IFERROR(INDEX(TablaMaxCalifPos[],MATCH(BX16,HALLAZGOS,0),MATCH($B$8,TablaMaxCalifPos[#Headers],0))*IFERROR(SEARCH("*FISCAL*",BX16,1)*(1-(BX17/BX9)),1)*(AVERAGEIF($C$22:$C$69,"*EFICIENCIA*",BX22:BX69)),"")</f>
        <v/>
      </c>
      <c r="BY74" s="1182" t="str">
        <f>IFERROR(INDEX(TablaMaxCalifPos[],MATCH(BY16,HALLAZGOS,0),MATCH($B$8,TablaMaxCalifPos[#Headers],0))*IFERROR(SEARCH("*FISCAL*",BY16,1)*(1-(BY17/BY9)),1)*(AVERAGEIF($C$22:$C$69,"*EFICIENCIA*",BY22:BY69)),"")</f>
        <v/>
      </c>
      <c r="BZ74" s="1182" t="str">
        <f>IFERROR(INDEX(TablaMaxCalifPos[],MATCH(BZ16,HALLAZGOS,0),MATCH($B$8,TablaMaxCalifPos[#Headers],0))*IFERROR(SEARCH("*FISCAL*",BZ16,1)*(1-(BZ17/BZ9)),1)*(AVERAGEIF($C$22:$C$69,"*EFICIENCIA*",BZ22:BZ69)),"")</f>
        <v/>
      </c>
      <c r="CA74" s="1182" t="str">
        <f>IFERROR(INDEX(TablaMaxCalifPos[],MATCH(CA16,HALLAZGOS,0),MATCH($B$8,TablaMaxCalifPos[#Headers],0))*IFERROR(SEARCH("*FISCAL*",CA16,1)*(1-(CA17/CA9)),1)*(AVERAGEIF($C$22:$C$69,"*EFICIENCIA*",CA22:CA69)),"")</f>
        <v/>
      </c>
      <c r="CB74" s="1182" t="str">
        <f>IFERROR(INDEX(TablaMaxCalifPos[],MATCH(CB16,HALLAZGOS,0),MATCH($B$8,TablaMaxCalifPos[#Headers],0))*IFERROR(SEARCH("*FISCAL*",CB16,1)*(1-(CB17/CB9)),1)*(AVERAGEIF($C$22:$C$69,"*EFICIENCIA*",CB22:CB69)),"")</f>
        <v/>
      </c>
      <c r="CC74" s="1182" t="str">
        <f>IFERROR(INDEX(TablaMaxCalifPos[],MATCH(CC16,HALLAZGOS,0),MATCH($B$8,TablaMaxCalifPos[#Headers],0))*IFERROR(SEARCH("*FISCAL*",CC16,1)*(1-(CC17/CC9)),1)*(AVERAGEIF($C$22:$C$69,"*EFICIENCIA*",CC22:CC69)),"")</f>
        <v/>
      </c>
      <c r="CD74" s="1182" t="str">
        <f>IFERROR(INDEX(TablaMaxCalifPos[],MATCH(CD16,HALLAZGOS,0),MATCH($B$8,TablaMaxCalifPos[#Headers],0))*IFERROR(SEARCH("*FISCAL*",CD16,1)*(1-(CD17/CD9)),1)*(AVERAGEIF($C$22:$C$69,"*EFICIENCIA*",CD22:CD69)),"")</f>
        <v/>
      </c>
      <c r="CE74" s="1182" t="str">
        <f>IFERROR(INDEX(TablaMaxCalifPos[],MATCH(CE16,HALLAZGOS,0),MATCH($B$8,TablaMaxCalifPos[#Headers],0))*IFERROR(SEARCH("*FISCAL*",CE16,1)*(1-(CE17/CE9)),1)*(AVERAGEIF($C$22:$C$69,"*EFICIENCIA*",CE22:CE69)),"")</f>
        <v/>
      </c>
      <c r="CF74" s="1182" t="str">
        <f>IFERROR(INDEX(TablaMaxCalifPos[],MATCH(CF16,HALLAZGOS,0),MATCH($B$8,TablaMaxCalifPos[#Headers],0))*IFERROR(SEARCH("*FISCAL*",CF16,1)*(1-(CF17/CF9)),1)*(AVERAGEIF($C$22:$C$69,"*EFICIENCIA*",CF22:CF69)),"")</f>
        <v/>
      </c>
      <c r="CG74" s="1182" t="str">
        <f>IFERROR(INDEX(TablaMaxCalifPos[],MATCH(CG16,HALLAZGOS,0),MATCH($B$8,TablaMaxCalifPos[#Headers],0))*IFERROR(SEARCH("*FISCAL*",CG16,1)*(1-(CG17/CG9)),1)*(AVERAGEIF($C$22:$C$69,"*EFICIENCIA*",CG22:CG69)),"")</f>
        <v/>
      </c>
      <c r="CH74" s="1182" t="str">
        <f>IFERROR(INDEX(TablaMaxCalifPos[],MATCH(CH16,HALLAZGOS,0),MATCH($B$8,TablaMaxCalifPos[#Headers],0))*IFERROR(SEARCH("*FISCAL*",CH16,1)*(1-(CH17/CH9)),1)*(AVERAGEIF($C$22:$C$69,"*EFICIENCIA*",CH22:CH69)),"")</f>
        <v/>
      </c>
      <c r="CI74" s="1182" t="str">
        <f>IFERROR(INDEX(TablaMaxCalifPos[],MATCH(CI16,HALLAZGOS,0),MATCH($B$8,TablaMaxCalifPos[#Headers],0))*IFERROR(SEARCH("*FISCAL*",CI16,1)*(1-(CI17/CI9)),1)*(AVERAGEIF($C$22:$C$69,"*EFICIENCIA*",CI22:CI69)),"")</f>
        <v/>
      </c>
      <c r="CJ74" s="1182" t="str">
        <f>IFERROR(INDEX(TablaMaxCalifPos[],MATCH(CJ16,HALLAZGOS,0),MATCH($B$8,TablaMaxCalifPos[#Headers],0))*IFERROR(SEARCH("*FISCAL*",CJ16,1)*(1-(CJ17/CJ9)),1)*(AVERAGEIF($C$22:$C$69,"*EFICIENCIA*",CJ22:CJ69)),"")</f>
        <v/>
      </c>
      <c r="CK74" s="1182" t="str">
        <f>IFERROR(INDEX(TablaMaxCalifPos[],MATCH(CK16,HALLAZGOS,0),MATCH($B$8,TablaMaxCalifPos[#Headers],0))*IFERROR(SEARCH("*FISCAL*",CK16,1)*(1-(CK17/CK9)),1)*(AVERAGEIF($C$22:$C$69,"*EFICIENCIA*",CK22:CK69)),"")</f>
        <v/>
      </c>
      <c r="CL74" s="1182" t="str">
        <f>IFERROR(INDEX(TablaMaxCalifPos[],MATCH(CL16,HALLAZGOS,0),MATCH($B$8,TablaMaxCalifPos[#Headers],0))*IFERROR(SEARCH("*FISCAL*",CL16,1)*(1-(CL17/CL9)),1)*(AVERAGEIF($C$22:$C$69,"*EFICIENCIA*",CL22:CL69)),"")</f>
        <v/>
      </c>
      <c r="CM74" s="1182" t="str">
        <f>IFERROR(INDEX(TablaMaxCalifPos[],MATCH(CM16,HALLAZGOS,0),MATCH($B$8,TablaMaxCalifPos[#Headers],0))*IFERROR(SEARCH("*FISCAL*",CM16,1)*(1-(CM17/CM9)),1)*(AVERAGEIF($C$22:$C$69,"*EFICIENCIA*",CM22:CM69)),"")</f>
        <v/>
      </c>
      <c r="CN74" s="1182" t="str">
        <f>IFERROR(INDEX(TablaMaxCalifPos[],MATCH(CN16,HALLAZGOS,0),MATCH($B$8,TablaMaxCalifPos[#Headers],0))*IFERROR(SEARCH("*FISCAL*",CN16,1)*(1-(CN17/CN9)),1)*(AVERAGEIF($C$22:$C$69,"*EFICIENCIA*",CN22:CN69)),"")</f>
        <v/>
      </c>
      <c r="CO74" s="1182" t="str">
        <f>IFERROR(INDEX(TablaMaxCalifPos[],MATCH(CO16,HALLAZGOS,0),MATCH($B$8,TablaMaxCalifPos[#Headers],0))*IFERROR(SEARCH("*FISCAL*",CO16,1)*(1-(CO17/CO9)),1)*(AVERAGEIF($C$22:$C$69,"*EFICIENCIA*",CO22:CO69)),"")</f>
        <v/>
      </c>
      <c r="CP74" s="1182" t="str">
        <f>IFERROR(INDEX(TablaMaxCalifPos[],MATCH(CP16,HALLAZGOS,0),MATCH($B$8,TablaMaxCalifPos[#Headers],0))*IFERROR(SEARCH("*FISCAL*",CP16,1)*(1-(CP17/CP9)),1)*(AVERAGEIF($C$22:$C$69,"*EFICIENCIA*",CP22:CP69)),"")</f>
        <v/>
      </c>
      <c r="CQ74" s="1182" t="str">
        <f>IFERROR(INDEX(TablaMaxCalifPos[],MATCH(CQ16,HALLAZGOS,0),MATCH($B$8,TablaMaxCalifPos[#Headers],0))*IFERROR(SEARCH("*FISCAL*",CQ16,1)*(1-(CQ17/CQ9)),1)*(AVERAGEIF($C$22:$C$69,"*EFICIENCIA*",CQ22:CQ69)),"")</f>
        <v/>
      </c>
      <c r="CR74" s="1182" t="str">
        <f>IFERROR(INDEX(TablaMaxCalifPos[],MATCH(CR16,HALLAZGOS,0),MATCH($B$8,TablaMaxCalifPos[#Headers],0))*IFERROR(SEARCH("*FISCAL*",CR16,1)*(1-(CR17/CR9)),1)*(AVERAGEIF($C$22:$C$69,"*EFICIENCIA*",CR22:CR69)),"")</f>
        <v/>
      </c>
      <c r="CS74" s="1182" t="str">
        <f>IFERROR(INDEX(TablaMaxCalifPos[],MATCH(CS16,HALLAZGOS,0),MATCH($B$8,TablaMaxCalifPos[#Headers],0))*IFERROR(SEARCH("*FISCAL*",CS16,1)*(1-(CS17/CS9)),1)*(AVERAGEIF($C$22:$C$69,"*EFICIENCIA*",CS22:CS69)),"")</f>
        <v/>
      </c>
      <c r="CT74" s="1182" t="str">
        <f>IFERROR(INDEX(TablaMaxCalifPos[],MATCH(CT16,HALLAZGOS,0),MATCH($B$8,TablaMaxCalifPos[#Headers],0))*IFERROR(SEARCH("*FISCAL*",CT16,1)*(1-(CT17/CT9)),1)*(AVERAGEIF($C$22:$C$69,"*EFICIENCIA*",CT22:CT69)),"")</f>
        <v/>
      </c>
      <c r="CU74" s="1182" t="str">
        <f>IFERROR(INDEX(TablaMaxCalifPos[],MATCH(CU16,HALLAZGOS,0),MATCH($B$8,TablaMaxCalifPos[#Headers],0))*IFERROR(SEARCH("*FISCAL*",CU16,1)*(1-(CU17/CU9)),1)*(AVERAGEIF($C$22:$C$69,"*EFICIENCIA*",CU22:CU69)),"")</f>
        <v/>
      </c>
      <c r="CV74" s="1182" t="str">
        <f>IFERROR(INDEX(TablaMaxCalifPos[],MATCH(CV16,HALLAZGOS,0),MATCH($B$8,TablaMaxCalifPos[#Headers],0))*IFERROR(SEARCH("*FISCAL*",CV16,1)*(1-(CV17/CV9)),1)*(AVERAGEIF($C$22:$C$69,"*EFICIENCIA*",CV22:CV69)),"")</f>
        <v/>
      </c>
      <c r="CW74" s="1182" t="str">
        <f>IFERROR(INDEX(TablaMaxCalifPos[],MATCH(CW16,HALLAZGOS,0),MATCH($B$8,TablaMaxCalifPos[#Headers],0))*IFERROR(SEARCH("*FISCAL*",CW16,1)*(1-(CW17/CW9)),1)*(AVERAGEIF($C$22:$C$69,"*EFICIENCIA*",CW22:CW69)),"")</f>
        <v/>
      </c>
      <c r="CX74" s="1182" t="str">
        <f>IFERROR(INDEX(TablaMaxCalifPos[],MATCH(CX16,HALLAZGOS,0),MATCH($B$8,TablaMaxCalifPos[#Headers],0))*IFERROR(SEARCH("*FISCAL*",CX16,1)*(1-(CX17/CX9)),1)*(AVERAGEIF($C$22:$C$69,"*EFICIENCIA*",CX22:CX69)),"")</f>
        <v/>
      </c>
      <c r="CY74" s="1182" t="str">
        <f>IFERROR(INDEX(TablaMaxCalifPos[],MATCH(CY16,HALLAZGOS,0),MATCH($B$8,TablaMaxCalifPos[#Headers],0))*IFERROR(SEARCH("*FISCAL*",CY16,1)*(1-(CY17/CY9)),1)*(AVERAGEIF($C$22:$C$69,"*EFICIENCIA*",CY22:CY69)),"")</f>
        <v/>
      </c>
      <c r="CZ74" s="177" t="s">
        <v>274</v>
      </c>
    </row>
    <row r="75" spans="1:105" s="176" customFormat="1" ht="17.399999999999999" x14ac:dyDescent="0.3">
      <c r="C75" s="1572"/>
      <c r="D75" s="177"/>
      <c r="E75" s="178"/>
      <c r="F75" s="178"/>
      <c r="G75" s="178"/>
      <c r="H75" s="178"/>
      <c r="I75" s="178"/>
      <c r="J75" s="178"/>
      <c r="K75" s="178"/>
      <c r="L75" s="178"/>
      <c r="M75" s="178"/>
      <c r="N75" s="178"/>
      <c r="O75" s="178"/>
      <c r="P75" s="178"/>
      <c r="Q75" s="178"/>
      <c r="R75" s="178"/>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7"/>
      <c r="BG75" s="177"/>
      <c r="BH75" s="177"/>
      <c r="BI75" s="177"/>
      <c r="BJ75" s="177"/>
      <c r="BK75" s="177"/>
      <c r="BL75" s="177"/>
      <c r="BM75" s="177"/>
      <c r="BN75" s="177"/>
      <c r="BO75" s="177"/>
      <c r="BP75" s="177"/>
      <c r="BQ75" s="177"/>
      <c r="BR75" s="177"/>
      <c r="BS75" s="177"/>
      <c r="BT75" s="177"/>
      <c r="BU75" s="177"/>
      <c r="BV75" s="177"/>
      <c r="BW75" s="177"/>
      <c r="BX75" s="177"/>
      <c r="BY75" s="177"/>
      <c r="BZ75" s="177"/>
      <c r="CA75" s="177"/>
      <c r="CB75" s="177"/>
      <c r="CC75" s="177"/>
      <c r="CD75" s="177"/>
      <c r="CE75" s="177"/>
      <c r="CF75" s="177"/>
      <c r="CG75" s="177"/>
      <c r="CH75" s="177"/>
      <c r="CI75" s="177"/>
      <c r="CJ75" s="177"/>
      <c r="CK75" s="177"/>
      <c r="CL75" s="177"/>
      <c r="CM75" s="177"/>
      <c r="CN75" s="177"/>
      <c r="CO75" s="177"/>
      <c r="CP75" s="177"/>
      <c r="CQ75" s="177"/>
      <c r="CR75" s="177"/>
      <c r="CS75" s="177"/>
      <c r="CT75" s="177"/>
      <c r="CU75" s="177"/>
      <c r="CV75" s="177"/>
      <c r="CW75" s="177"/>
      <c r="CX75" s="177"/>
      <c r="CY75" s="177"/>
      <c r="CZ75" s="177"/>
    </row>
    <row r="76" spans="1:105" s="187" customFormat="1" ht="15" x14ac:dyDescent="0.3">
      <c r="C76" s="1578"/>
      <c r="D76" s="174" t="s">
        <v>275</v>
      </c>
      <c r="E76" s="182">
        <f t="shared" ref="E76:AJ76" si="3">IFERROR(E72*E15,"")</f>
        <v>5.7124547893505594E-2</v>
      </c>
      <c r="F76" s="182">
        <f t="shared" si="3"/>
        <v>8.4429310919929071E-3</v>
      </c>
      <c r="G76" s="182">
        <f t="shared" si="3"/>
        <v>3.2188896620358842E-2</v>
      </c>
      <c r="H76" s="182">
        <f t="shared" si="3"/>
        <v>0.24080654763390749</v>
      </c>
      <c r="I76" s="182">
        <f t="shared" si="3"/>
        <v>0.17455341802587093</v>
      </c>
      <c r="J76" s="182">
        <f t="shared" si="3"/>
        <v>6.9730987157439042E-2</v>
      </c>
      <c r="K76" s="182">
        <f t="shared" si="3"/>
        <v>0.14985104363216506</v>
      </c>
      <c r="L76" s="182" t="str">
        <f t="shared" si="3"/>
        <v/>
      </c>
      <c r="M76" s="182" t="str">
        <f t="shared" si="3"/>
        <v/>
      </c>
      <c r="N76" s="182" t="str">
        <f t="shared" si="3"/>
        <v/>
      </c>
      <c r="O76" s="182" t="str">
        <f t="shared" si="3"/>
        <v/>
      </c>
      <c r="P76" s="182" t="str">
        <f t="shared" si="3"/>
        <v/>
      </c>
      <c r="Q76" s="182" t="str">
        <f t="shared" si="3"/>
        <v/>
      </c>
      <c r="R76" s="182" t="str">
        <f t="shared" si="3"/>
        <v/>
      </c>
      <c r="S76" s="182" t="str">
        <f t="shared" si="3"/>
        <v/>
      </c>
      <c r="T76" s="182" t="str">
        <f t="shared" si="3"/>
        <v/>
      </c>
      <c r="U76" s="182" t="str">
        <f t="shared" si="3"/>
        <v/>
      </c>
      <c r="V76" s="182" t="str">
        <f t="shared" si="3"/>
        <v/>
      </c>
      <c r="W76" s="182" t="str">
        <f t="shared" si="3"/>
        <v/>
      </c>
      <c r="X76" s="182" t="str">
        <f t="shared" si="3"/>
        <v/>
      </c>
      <c r="Y76" s="182" t="str">
        <f t="shared" si="3"/>
        <v/>
      </c>
      <c r="Z76" s="182" t="str">
        <f t="shared" si="3"/>
        <v/>
      </c>
      <c r="AA76" s="182" t="str">
        <f t="shared" si="3"/>
        <v/>
      </c>
      <c r="AB76" s="182" t="str">
        <f t="shared" si="3"/>
        <v/>
      </c>
      <c r="AC76" s="182" t="str">
        <f t="shared" si="3"/>
        <v/>
      </c>
      <c r="AD76" s="182" t="str">
        <f t="shared" si="3"/>
        <v/>
      </c>
      <c r="AE76" s="182" t="str">
        <f t="shared" si="3"/>
        <v/>
      </c>
      <c r="AF76" s="182" t="str">
        <f t="shared" si="3"/>
        <v/>
      </c>
      <c r="AG76" s="182" t="str">
        <f t="shared" si="3"/>
        <v/>
      </c>
      <c r="AH76" s="182" t="str">
        <f t="shared" si="3"/>
        <v/>
      </c>
      <c r="AI76" s="182" t="str">
        <f t="shared" si="3"/>
        <v/>
      </c>
      <c r="AJ76" s="182" t="str">
        <f t="shared" si="3"/>
        <v/>
      </c>
      <c r="AK76" s="182" t="str">
        <f t="shared" ref="AK76:BP76" si="4">IFERROR(AK72*AK15,"")</f>
        <v/>
      </c>
      <c r="AL76" s="182" t="str">
        <f t="shared" si="4"/>
        <v/>
      </c>
      <c r="AM76" s="182" t="str">
        <f t="shared" si="4"/>
        <v/>
      </c>
      <c r="AN76" s="182" t="str">
        <f t="shared" si="4"/>
        <v/>
      </c>
      <c r="AO76" s="182" t="str">
        <f t="shared" si="4"/>
        <v/>
      </c>
      <c r="AP76" s="182" t="str">
        <f t="shared" si="4"/>
        <v/>
      </c>
      <c r="AQ76" s="182" t="str">
        <f t="shared" si="4"/>
        <v/>
      </c>
      <c r="AR76" s="182" t="str">
        <f t="shared" si="4"/>
        <v/>
      </c>
      <c r="AS76" s="182" t="str">
        <f t="shared" si="4"/>
        <v/>
      </c>
      <c r="AT76" s="182" t="str">
        <f t="shared" si="4"/>
        <v/>
      </c>
      <c r="AU76" s="182" t="str">
        <f t="shared" si="4"/>
        <v/>
      </c>
      <c r="AV76" s="182" t="str">
        <f t="shared" si="4"/>
        <v/>
      </c>
      <c r="AW76" s="182" t="str">
        <f t="shared" si="4"/>
        <v/>
      </c>
      <c r="AX76" s="182" t="str">
        <f t="shared" si="4"/>
        <v/>
      </c>
      <c r="AY76" s="182" t="str">
        <f t="shared" si="4"/>
        <v/>
      </c>
      <c r="AZ76" s="182" t="str">
        <f t="shared" si="4"/>
        <v/>
      </c>
      <c r="BA76" s="182" t="str">
        <f t="shared" si="4"/>
        <v/>
      </c>
      <c r="BB76" s="182" t="str">
        <f t="shared" si="4"/>
        <v/>
      </c>
      <c r="BC76" s="182" t="str">
        <f t="shared" si="4"/>
        <v/>
      </c>
      <c r="BD76" s="182" t="str">
        <f t="shared" si="4"/>
        <v/>
      </c>
      <c r="BE76" s="182" t="str">
        <f t="shared" si="4"/>
        <v/>
      </c>
      <c r="BF76" s="182" t="str">
        <f t="shared" si="4"/>
        <v/>
      </c>
      <c r="BG76" s="182" t="str">
        <f t="shared" si="4"/>
        <v/>
      </c>
      <c r="BH76" s="182" t="str">
        <f t="shared" si="4"/>
        <v/>
      </c>
      <c r="BI76" s="182" t="str">
        <f t="shared" si="4"/>
        <v/>
      </c>
      <c r="BJ76" s="182" t="str">
        <f t="shared" si="4"/>
        <v/>
      </c>
      <c r="BK76" s="182" t="str">
        <f t="shared" si="4"/>
        <v/>
      </c>
      <c r="BL76" s="182" t="str">
        <f t="shared" si="4"/>
        <v/>
      </c>
      <c r="BM76" s="182" t="str">
        <f t="shared" si="4"/>
        <v/>
      </c>
      <c r="BN76" s="182" t="str">
        <f t="shared" si="4"/>
        <v/>
      </c>
      <c r="BO76" s="182" t="str">
        <f t="shared" si="4"/>
        <v/>
      </c>
      <c r="BP76" s="182" t="str">
        <f t="shared" si="4"/>
        <v/>
      </c>
      <c r="BQ76" s="182" t="str">
        <f t="shared" ref="BQ76:CY76" si="5">IFERROR(BQ72*BQ15,"")</f>
        <v/>
      </c>
      <c r="BR76" s="182" t="str">
        <f t="shared" si="5"/>
        <v/>
      </c>
      <c r="BS76" s="182" t="str">
        <f t="shared" si="5"/>
        <v/>
      </c>
      <c r="BT76" s="182" t="str">
        <f t="shared" si="5"/>
        <v/>
      </c>
      <c r="BU76" s="182" t="str">
        <f t="shared" si="5"/>
        <v/>
      </c>
      <c r="BV76" s="182" t="str">
        <f t="shared" si="5"/>
        <v/>
      </c>
      <c r="BW76" s="182" t="str">
        <f t="shared" si="5"/>
        <v/>
      </c>
      <c r="BX76" s="182" t="str">
        <f t="shared" si="5"/>
        <v/>
      </c>
      <c r="BY76" s="182" t="str">
        <f t="shared" si="5"/>
        <v/>
      </c>
      <c r="BZ76" s="182" t="str">
        <f t="shared" si="5"/>
        <v/>
      </c>
      <c r="CA76" s="182" t="str">
        <f t="shared" si="5"/>
        <v/>
      </c>
      <c r="CB76" s="182" t="str">
        <f t="shared" si="5"/>
        <v/>
      </c>
      <c r="CC76" s="182" t="str">
        <f t="shared" si="5"/>
        <v/>
      </c>
      <c r="CD76" s="182" t="str">
        <f t="shared" si="5"/>
        <v/>
      </c>
      <c r="CE76" s="182" t="str">
        <f t="shared" si="5"/>
        <v/>
      </c>
      <c r="CF76" s="182" t="str">
        <f t="shared" si="5"/>
        <v/>
      </c>
      <c r="CG76" s="182" t="str">
        <f t="shared" si="5"/>
        <v/>
      </c>
      <c r="CH76" s="182" t="str">
        <f t="shared" si="5"/>
        <v/>
      </c>
      <c r="CI76" s="182" t="str">
        <f t="shared" si="5"/>
        <v/>
      </c>
      <c r="CJ76" s="182" t="str">
        <f t="shared" si="5"/>
        <v/>
      </c>
      <c r="CK76" s="182" t="str">
        <f t="shared" si="5"/>
        <v/>
      </c>
      <c r="CL76" s="182" t="str">
        <f t="shared" si="5"/>
        <v/>
      </c>
      <c r="CM76" s="182" t="str">
        <f t="shared" si="5"/>
        <v/>
      </c>
      <c r="CN76" s="182" t="str">
        <f t="shared" si="5"/>
        <v/>
      </c>
      <c r="CO76" s="182" t="str">
        <f t="shared" si="5"/>
        <v/>
      </c>
      <c r="CP76" s="182" t="str">
        <f t="shared" si="5"/>
        <v/>
      </c>
      <c r="CQ76" s="182" t="str">
        <f t="shared" si="5"/>
        <v/>
      </c>
      <c r="CR76" s="182" t="str">
        <f t="shared" si="5"/>
        <v/>
      </c>
      <c r="CS76" s="182" t="str">
        <f t="shared" si="5"/>
        <v/>
      </c>
      <c r="CT76" s="182" t="str">
        <f t="shared" si="5"/>
        <v/>
      </c>
      <c r="CU76" s="182" t="str">
        <f t="shared" si="5"/>
        <v/>
      </c>
      <c r="CV76" s="182" t="str">
        <f t="shared" si="5"/>
        <v/>
      </c>
      <c r="CW76" s="182" t="str">
        <f t="shared" si="5"/>
        <v/>
      </c>
      <c r="CX76" s="182" t="str">
        <f t="shared" si="5"/>
        <v/>
      </c>
      <c r="CY76" s="182" t="str">
        <f t="shared" si="5"/>
        <v/>
      </c>
      <c r="CZ76" s="183">
        <f>IFERROR(SUM(E76:CY76)/SUMIF(E76:CY76,"&gt;=0",E15:CY15),"")</f>
        <v>0.73269837205523991</v>
      </c>
      <c r="DA76" s="1579"/>
    </row>
    <row r="77" spans="1:105" s="187" customFormat="1" ht="15" x14ac:dyDescent="0.3">
      <c r="C77" s="1578"/>
      <c r="D77" s="174" t="s">
        <v>276</v>
      </c>
      <c r="E77" s="182">
        <f t="shared" ref="E77:AJ77" si="6">IFERROR(E73*E15,"")</f>
        <v>5.7648626314546932E-2</v>
      </c>
      <c r="F77" s="182">
        <f t="shared" si="6"/>
        <v>8.0159042304036709E-3</v>
      </c>
      <c r="G77" s="182">
        <f t="shared" si="6"/>
        <v>3.3812840954358929E-2</v>
      </c>
      <c r="H77" s="182">
        <f t="shared" si="6"/>
        <v>0.22182532564394067</v>
      </c>
      <c r="I77" s="182">
        <f t="shared" si="6"/>
        <v>0.17237150030054754</v>
      </c>
      <c r="J77" s="182">
        <f t="shared" si="6"/>
        <v>7.5986615682192268E-2</v>
      </c>
      <c r="K77" s="182">
        <f t="shared" si="6"/>
        <v>0.1629380347760408</v>
      </c>
      <c r="L77" s="182" t="str">
        <f t="shared" si="6"/>
        <v/>
      </c>
      <c r="M77" s="182" t="str">
        <f t="shared" si="6"/>
        <v/>
      </c>
      <c r="N77" s="182" t="str">
        <f t="shared" si="6"/>
        <v/>
      </c>
      <c r="O77" s="182" t="str">
        <f t="shared" si="6"/>
        <v/>
      </c>
      <c r="P77" s="182" t="str">
        <f t="shared" si="6"/>
        <v/>
      </c>
      <c r="Q77" s="182" t="str">
        <f t="shared" si="6"/>
        <v/>
      </c>
      <c r="R77" s="182" t="str">
        <f t="shared" si="6"/>
        <v/>
      </c>
      <c r="S77" s="182" t="str">
        <f t="shared" si="6"/>
        <v/>
      </c>
      <c r="T77" s="182" t="str">
        <f t="shared" si="6"/>
        <v/>
      </c>
      <c r="U77" s="182" t="str">
        <f t="shared" si="6"/>
        <v/>
      </c>
      <c r="V77" s="182" t="str">
        <f t="shared" si="6"/>
        <v/>
      </c>
      <c r="W77" s="182" t="str">
        <f t="shared" si="6"/>
        <v/>
      </c>
      <c r="X77" s="182" t="str">
        <f t="shared" si="6"/>
        <v/>
      </c>
      <c r="Y77" s="182" t="str">
        <f t="shared" si="6"/>
        <v/>
      </c>
      <c r="Z77" s="182" t="str">
        <f t="shared" si="6"/>
        <v/>
      </c>
      <c r="AA77" s="182" t="str">
        <f t="shared" si="6"/>
        <v/>
      </c>
      <c r="AB77" s="182" t="str">
        <f t="shared" si="6"/>
        <v/>
      </c>
      <c r="AC77" s="182" t="str">
        <f t="shared" si="6"/>
        <v/>
      </c>
      <c r="AD77" s="182" t="str">
        <f t="shared" si="6"/>
        <v/>
      </c>
      <c r="AE77" s="182" t="str">
        <f t="shared" si="6"/>
        <v/>
      </c>
      <c r="AF77" s="182" t="str">
        <f t="shared" si="6"/>
        <v/>
      </c>
      <c r="AG77" s="182" t="str">
        <f t="shared" si="6"/>
        <v/>
      </c>
      <c r="AH77" s="182" t="str">
        <f t="shared" si="6"/>
        <v/>
      </c>
      <c r="AI77" s="182" t="str">
        <f t="shared" si="6"/>
        <v/>
      </c>
      <c r="AJ77" s="182" t="str">
        <f t="shared" si="6"/>
        <v/>
      </c>
      <c r="AK77" s="182" t="str">
        <f t="shared" ref="AK77:BP77" si="7">IFERROR(AK73*AK15,"")</f>
        <v/>
      </c>
      <c r="AL77" s="182" t="str">
        <f t="shared" si="7"/>
        <v/>
      </c>
      <c r="AM77" s="182" t="str">
        <f t="shared" si="7"/>
        <v/>
      </c>
      <c r="AN77" s="182" t="str">
        <f t="shared" si="7"/>
        <v/>
      </c>
      <c r="AO77" s="182" t="str">
        <f t="shared" si="7"/>
        <v/>
      </c>
      <c r="AP77" s="182" t="str">
        <f t="shared" si="7"/>
        <v/>
      </c>
      <c r="AQ77" s="182" t="str">
        <f t="shared" si="7"/>
        <v/>
      </c>
      <c r="AR77" s="182" t="str">
        <f t="shared" si="7"/>
        <v/>
      </c>
      <c r="AS77" s="182" t="str">
        <f t="shared" si="7"/>
        <v/>
      </c>
      <c r="AT77" s="182" t="str">
        <f t="shared" si="7"/>
        <v/>
      </c>
      <c r="AU77" s="182" t="str">
        <f t="shared" si="7"/>
        <v/>
      </c>
      <c r="AV77" s="182" t="str">
        <f t="shared" si="7"/>
        <v/>
      </c>
      <c r="AW77" s="182" t="str">
        <f t="shared" si="7"/>
        <v/>
      </c>
      <c r="AX77" s="182" t="str">
        <f t="shared" si="7"/>
        <v/>
      </c>
      <c r="AY77" s="182" t="str">
        <f t="shared" si="7"/>
        <v/>
      </c>
      <c r="AZ77" s="182" t="str">
        <f t="shared" si="7"/>
        <v/>
      </c>
      <c r="BA77" s="182" t="str">
        <f t="shared" si="7"/>
        <v/>
      </c>
      <c r="BB77" s="182" t="str">
        <f t="shared" si="7"/>
        <v/>
      </c>
      <c r="BC77" s="182" t="str">
        <f t="shared" si="7"/>
        <v/>
      </c>
      <c r="BD77" s="182" t="str">
        <f t="shared" si="7"/>
        <v/>
      </c>
      <c r="BE77" s="182" t="str">
        <f t="shared" si="7"/>
        <v/>
      </c>
      <c r="BF77" s="182" t="str">
        <f t="shared" si="7"/>
        <v/>
      </c>
      <c r="BG77" s="182" t="str">
        <f t="shared" si="7"/>
        <v/>
      </c>
      <c r="BH77" s="182" t="str">
        <f t="shared" si="7"/>
        <v/>
      </c>
      <c r="BI77" s="182" t="str">
        <f t="shared" si="7"/>
        <v/>
      </c>
      <c r="BJ77" s="182" t="str">
        <f t="shared" si="7"/>
        <v/>
      </c>
      <c r="BK77" s="182" t="str">
        <f t="shared" si="7"/>
        <v/>
      </c>
      <c r="BL77" s="182" t="str">
        <f t="shared" si="7"/>
        <v/>
      </c>
      <c r="BM77" s="182" t="str">
        <f t="shared" si="7"/>
        <v/>
      </c>
      <c r="BN77" s="182" t="str">
        <f t="shared" si="7"/>
        <v/>
      </c>
      <c r="BO77" s="182" t="str">
        <f t="shared" si="7"/>
        <v/>
      </c>
      <c r="BP77" s="182" t="str">
        <f t="shared" si="7"/>
        <v/>
      </c>
      <c r="BQ77" s="182" t="str">
        <f t="shared" ref="BQ77:CY77" si="8">IFERROR(BQ73*BQ15,"")</f>
        <v/>
      </c>
      <c r="BR77" s="182" t="str">
        <f t="shared" si="8"/>
        <v/>
      </c>
      <c r="BS77" s="182" t="str">
        <f t="shared" si="8"/>
        <v/>
      </c>
      <c r="BT77" s="182" t="str">
        <f t="shared" si="8"/>
        <v/>
      </c>
      <c r="BU77" s="182" t="str">
        <f t="shared" si="8"/>
        <v/>
      </c>
      <c r="BV77" s="182" t="str">
        <f t="shared" si="8"/>
        <v/>
      </c>
      <c r="BW77" s="182" t="str">
        <f t="shared" si="8"/>
        <v/>
      </c>
      <c r="BX77" s="182" t="str">
        <f t="shared" si="8"/>
        <v/>
      </c>
      <c r="BY77" s="182" t="str">
        <f t="shared" si="8"/>
        <v/>
      </c>
      <c r="BZ77" s="182" t="str">
        <f t="shared" si="8"/>
        <v/>
      </c>
      <c r="CA77" s="182" t="str">
        <f t="shared" si="8"/>
        <v/>
      </c>
      <c r="CB77" s="182" t="str">
        <f t="shared" si="8"/>
        <v/>
      </c>
      <c r="CC77" s="182" t="str">
        <f t="shared" si="8"/>
        <v/>
      </c>
      <c r="CD77" s="182" t="str">
        <f t="shared" si="8"/>
        <v/>
      </c>
      <c r="CE77" s="182" t="str">
        <f t="shared" si="8"/>
        <v/>
      </c>
      <c r="CF77" s="182" t="str">
        <f t="shared" si="8"/>
        <v/>
      </c>
      <c r="CG77" s="182" t="str">
        <f t="shared" si="8"/>
        <v/>
      </c>
      <c r="CH77" s="182" t="str">
        <f t="shared" si="8"/>
        <v/>
      </c>
      <c r="CI77" s="182" t="str">
        <f t="shared" si="8"/>
        <v/>
      </c>
      <c r="CJ77" s="182" t="str">
        <f t="shared" si="8"/>
        <v/>
      </c>
      <c r="CK77" s="182" t="str">
        <f t="shared" si="8"/>
        <v/>
      </c>
      <c r="CL77" s="182" t="str">
        <f t="shared" si="8"/>
        <v/>
      </c>
      <c r="CM77" s="182" t="str">
        <f t="shared" si="8"/>
        <v/>
      </c>
      <c r="CN77" s="182" t="str">
        <f t="shared" si="8"/>
        <v/>
      </c>
      <c r="CO77" s="182" t="str">
        <f t="shared" si="8"/>
        <v/>
      </c>
      <c r="CP77" s="182" t="str">
        <f t="shared" si="8"/>
        <v/>
      </c>
      <c r="CQ77" s="182" t="str">
        <f t="shared" si="8"/>
        <v/>
      </c>
      <c r="CR77" s="182" t="str">
        <f t="shared" si="8"/>
        <v/>
      </c>
      <c r="CS77" s="182" t="str">
        <f t="shared" si="8"/>
        <v/>
      </c>
      <c r="CT77" s="182" t="str">
        <f t="shared" si="8"/>
        <v/>
      </c>
      <c r="CU77" s="182" t="str">
        <f t="shared" si="8"/>
        <v/>
      </c>
      <c r="CV77" s="182" t="str">
        <f t="shared" si="8"/>
        <v/>
      </c>
      <c r="CW77" s="182" t="str">
        <f t="shared" si="8"/>
        <v/>
      </c>
      <c r="CX77" s="182" t="str">
        <f t="shared" si="8"/>
        <v/>
      </c>
      <c r="CY77" s="182" t="str">
        <f t="shared" si="8"/>
        <v/>
      </c>
      <c r="CZ77" s="183">
        <f>IFERROR(SUM(E77:CY77)/SUMIF(E77:CY77,"&gt;=0",E15:CY15),"")</f>
        <v>0.73259884790203089</v>
      </c>
    </row>
    <row r="78" spans="1:105" s="187" customFormat="1" ht="15" x14ac:dyDescent="0.3">
      <c r="C78" s="1578"/>
      <c r="D78" s="174" t="s">
        <v>277</v>
      </c>
      <c r="E78" s="182">
        <f t="shared" ref="E78:AJ78" si="9">IFERROR(E74*E15,"")</f>
        <v>5.6207410656683263E-2</v>
      </c>
      <c r="F78" s="182">
        <f t="shared" si="9"/>
        <v>7.6425607456999381E-3</v>
      </c>
      <c r="G78" s="182">
        <f t="shared" si="9"/>
        <v>3.2536884691930293E-2</v>
      </c>
      <c r="H78" s="182">
        <f t="shared" si="9"/>
        <v>0.24859734770441627</v>
      </c>
      <c r="I78" s="182">
        <f t="shared" si="9"/>
        <v>0.16582574712457737</v>
      </c>
      <c r="J78" s="182">
        <f t="shared" si="9"/>
        <v>7.4356001611758954E-2</v>
      </c>
      <c r="K78" s="182">
        <f t="shared" si="9"/>
        <v>0.15291466496864486</v>
      </c>
      <c r="L78" s="182" t="str">
        <f t="shared" si="9"/>
        <v/>
      </c>
      <c r="M78" s="182" t="str">
        <f t="shared" si="9"/>
        <v/>
      </c>
      <c r="N78" s="182" t="str">
        <f t="shared" si="9"/>
        <v/>
      </c>
      <c r="O78" s="182" t="str">
        <f t="shared" si="9"/>
        <v/>
      </c>
      <c r="P78" s="182" t="str">
        <f t="shared" si="9"/>
        <v/>
      </c>
      <c r="Q78" s="182" t="str">
        <f t="shared" si="9"/>
        <v/>
      </c>
      <c r="R78" s="182" t="str">
        <f t="shared" si="9"/>
        <v/>
      </c>
      <c r="S78" s="182" t="str">
        <f t="shared" si="9"/>
        <v/>
      </c>
      <c r="T78" s="182" t="str">
        <f t="shared" si="9"/>
        <v/>
      </c>
      <c r="U78" s="182" t="str">
        <f t="shared" si="9"/>
        <v/>
      </c>
      <c r="V78" s="182" t="str">
        <f t="shared" si="9"/>
        <v/>
      </c>
      <c r="W78" s="182" t="str">
        <f t="shared" si="9"/>
        <v/>
      </c>
      <c r="X78" s="182" t="str">
        <f t="shared" si="9"/>
        <v/>
      </c>
      <c r="Y78" s="182" t="str">
        <f t="shared" si="9"/>
        <v/>
      </c>
      <c r="Z78" s="182" t="str">
        <f t="shared" si="9"/>
        <v/>
      </c>
      <c r="AA78" s="182" t="str">
        <f t="shared" si="9"/>
        <v/>
      </c>
      <c r="AB78" s="182" t="str">
        <f t="shared" si="9"/>
        <v/>
      </c>
      <c r="AC78" s="182" t="str">
        <f t="shared" si="9"/>
        <v/>
      </c>
      <c r="AD78" s="182" t="str">
        <f t="shared" si="9"/>
        <v/>
      </c>
      <c r="AE78" s="182" t="str">
        <f t="shared" si="9"/>
        <v/>
      </c>
      <c r="AF78" s="182" t="str">
        <f t="shared" si="9"/>
        <v/>
      </c>
      <c r="AG78" s="182" t="str">
        <f t="shared" si="9"/>
        <v/>
      </c>
      <c r="AH78" s="182" t="str">
        <f t="shared" si="9"/>
        <v/>
      </c>
      <c r="AI78" s="182" t="str">
        <f t="shared" si="9"/>
        <v/>
      </c>
      <c r="AJ78" s="182" t="str">
        <f t="shared" si="9"/>
        <v/>
      </c>
      <c r="AK78" s="182" t="str">
        <f t="shared" ref="AK78:BP78" si="10">IFERROR(AK74*AK15,"")</f>
        <v/>
      </c>
      <c r="AL78" s="182" t="str">
        <f t="shared" si="10"/>
        <v/>
      </c>
      <c r="AM78" s="182" t="str">
        <f t="shared" si="10"/>
        <v/>
      </c>
      <c r="AN78" s="182" t="str">
        <f t="shared" si="10"/>
        <v/>
      </c>
      <c r="AO78" s="182" t="str">
        <f t="shared" si="10"/>
        <v/>
      </c>
      <c r="AP78" s="182" t="str">
        <f t="shared" si="10"/>
        <v/>
      </c>
      <c r="AQ78" s="182" t="str">
        <f t="shared" si="10"/>
        <v/>
      </c>
      <c r="AR78" s="182" t="str">
        <f t="shared" si="10"/>
        <v/>
      </c>
      <c r="AS78" s="182" t="str">
        <f t="shared" si="10"/>
        <v/>
      </c>
      <c r="AT78" s="182" t="str">
        <f t="shared" si="10"/>
        <v/>
      </c>
      <c r="AU78" s="182" t="str">
        <f t="shared" si="10"/>
        <v/>
      </c>
      <c r="AV78" s="182" t="str">
        <f t="shared" si="10"/>
        <v/>
      </c>
      <c r="AW78" s="182" t="str">
        <f t="shared" si="10"/>
        <v/>
      </c>
      <c r="AX78" s="182" t="str">
        <f t="shared" si="10"/>
        <v/>
      </c>
      <c r="AY78" s="182" t="str">
        <f t="shared" si="10"/>
        <v/>
      </c>
      <c r="AZ78" s="182" t="str">
        <f t="shared" si="10"/>
        <v/>
      </c>
      <c r="BA78" s="182" t="str">
        <f t="shared" si="10"/>
        <v/>
      </c>
      <c r="BB78" s="182" t="str">
        <f t="shared" si="10"/>
        <v/>
      </c>
      <c r="BC78" s="182" t="str">
        <f t="shared" si="10"/>
        <v/>
      </c>
      <c r="BD78" s="182" t="str">
        <f t="shared" si="10"/>
        <v/>
      </c>
      <c r="BE78" s="182" t="str">
        <f t="shared" si="10"/>
        <v/>
      </c>
      <c r="BF78" s="182" t="str">
        <f t="shared" si="10"/>
        <v/>
      </c>
      <c r="BG78" s="182" t="str">
        <f t="shared" si="10"/>
        <v/>
      </c>
      <c r="BH78" s="182" t="str">
        <f t="shared" si="10"/>
        <v/>
      </c>
      <c r="BI78" s="182" t="str">
        <f t="shared" si="10"/>
        <v/>
      </c>
      <c r="BJ78" s="182" t="str">
        <f t="shared" si="10"/>
        <v/>
      </c>
      <c r="BK78" s="182" t="str">
        <f t="shared" si="10"/>
        <v/>
      </c>
      <c r="BL78" s="182" t="str">
        <f t="shared" si="10"/>
        <v/>
      </c>
      <c r="BM78" s="182" t="str">
        <f t="shared" si="10"/>
        <v/>
      </c>
      <c r="BN78" s="182" t="str">
        <f t="shared" si="10"/>
        <v/>
      </c>
      <c r="BO78" s="182" t="str">
        <f t="shared" si="10"/>
        <v/>
      </c>
      <c r="BP78" s="182" t="str">
        <f t="shared" si="10"/>
        <v/>
      </c>
      <c r="BQ78" s="182" t="str">
        <f t="shared" ref="BQ78:CY78" si="11">IFERROR(BQ74*BQ15,"")</f>
        <v/>
      </c>
      <c r="BR78" s="182" t="str">
        <f t="shared" si="11"/>
        <v/>
      </c>
      <c r="BS78" s="182" t="str">
        <f t="shared" si="11"/>
        <v/>
      </c>
      <c r="BT78" s="182" t="str">
        <f t="shared" si="11"/>
        <v/>
      </c>
      <c r="BU78" s="182" t="str">
        <f t="shared" si="11"/>
        <v/>
      </c>
      <c r="BV78" s="182" t="str">
        <f t="shared" si="11"/>
        <v/>
      </c>
      <c r="BW78" s="182" t="str">
        <f t="shared" si="11"/>
        <v/>
      </c>
      <c r="BX78" s="182" t="str">
        <f t="shared" si="11"/>
        <v/>
      </c>
      <c r="BY78" s="182" t="str">
        <f t="shared" si="11"/>
        <v/>
      </c>
      <c r="BZ78" s="182" t="str">
        <f t="shared" si="11"/>
        <v/>
      </c>
      <c r="CA78" s="182" t="str">
        <f t="shared" si="11"/>
        <v/>
      </c>
      <c r="CB78" s="182" t="str">
        <f t="shared" si="11"/>
        <v/>
      </c>
      <c r="CC78" s="182" t="str">
        <f t="shared" si="11"/>
        <v/>
      </c>
      <c r="CD78" s="182" t="str">
        <f t="shared" si="11"/>
        <v/>
      </c>
      <c r="CE78" s="182" t="str">
        <f t="shared" si="11"/>
        <v/>
      </c>
      <c r="CF78" s="182" t="str">
        <f t="shared" si="11"/>
        <v/>
      </c>
      <c r="CG78" s="182" t="str">
        <f t="shared" si="11"/>
        <v/>
      </c>
      <c r="CH78" s="182" t="str">
        <f t="shared" si="11"/>
        <v/>
      </c>
      <c r="CI78" s="182" t="str">
        <f t="shared" si="11"/>
        <v/>
      </c>
      <c r="CJ78" s="182" t="str">
        <f t="shared" si="11"/>
        <v/>
      </c>
      <c r="CK78" s="182" t="str">
        <f t="shared" si="11"/>
        <v/>
      </c>
      <c r="CL78" s="182" t="str">
        <f t="shared" si="11"/>
        <v/>
      </c>
      <c r="CM78" s="182" t="str">
        <f t="shared" si="11"/>
        <v/>
      </c>
      <c r="CN78" s="182" t="str">
        <f t="shared" si="11"/>
        <v/>
      </c>
      <c r="CO78" s="182" t="str">
        <f t="shared" si="11"/>
        <v/>
      </c>
      <c r="CP78" s="182" t="str">
        <f t="shared" si="11"/>
        <v/>
      </c>
      <c r="CQ78" s="182" t="str">
        <f t="shared" si="11"/>
        <v/>
      </c>
      <c r="CR78" s="182" t="str">
        <f t="shared" si="11"/>
        <v/>
      </c>
      <c r="CS78" s="182" t="str">
        <f t="shared" si="11"/>
        <v/>
      </c>
      <c r="CT78" s="182" t="str">
        <f t="shared" si="11"/>
        <v/>
      </c>
      <c r="CU78" s="182" t="str">
        <f t="shared" si="11"/>
        <v/>
      </c>
      <c r="CV78" s="182" t="str">
        <f t="shared" si="11"/>
        <v/>
      </c>
      <c r="CW78" s="182" t="str">
        <f t="shared" si="11"/>
        <v/>
      </c>
      <c r="CX78" s="182" t="str">
        <f t="shared" si="11"/>
        <v/>
      </c>
      <c r="CY78" s="182" t="str">
        <f t="shared" si="11"/>
        <v/>
      </c>
      <c r="CZ78" s="183">
        <f>IFERROR(SUM(E78:CY78)/SUMIF(E78:CY78,"&gt;=0",E15:CY15),"")</f>
        <v>0.7380806175037109</v>
      </c>
    </row>
    <row r="79" spans="1:105" s="176" customFormat="1" ht="17.399999999999999" x14ac:dyDescent="0.3">
      <c r="C79" s="1572"/>
      <c r="D79" s="174" t="s">
        <v>278</v>
      </c>
      <c r="E79" s="175">
        <f t="shared" ref="E79:AJ79" si="12">IFERROR(AVERAGE(E72:E73)*E15,"")</f>
        <v>5.7386587104026263E-2</v>
      </c>
      <c r="F79" s="175">
        <f t="shared" si="12"/>
        <v>8.2294176611982899E-3</v>
      </c>
      <c r="G79" s="175">
        <f t="shared" si="12"/>
        <v>3.3000868787358889E-2</v>
      </c>
      <c r="H79" s="175">
        <f t="shared" si="12"/>
        <v>0.23131593663892408</v>
      </c>
      <c r="I79" s="175">
        <f t="shared" si="12"/>
        <v>0.17346245916320924</v>
      </c>
      <c r="J79" s="175">
        <f t="shared" si="12"/>
        <v>7.2858801419815655E-2</v>
      </c>
      <c r="K79" s="175">
        <f t="shared" si="12"/>
        <v>0.15639453920410293</v>
      </c>
      <c r="L79" s="175" t="str">
        <f t="shared" si="12"/>
        <v/>
      </c>
      <c r="M79" s="175" t="str">
        <f t="shared" si="12"/>
        <v/>
      </c>
      <c r="N79" s="175" t="str">
        <f t="shared" si="12"/>
        <v/>
      </c>
      <c r="O79" s="175" t="str">
        <f t="shared" si="12"/>
        <v/>
      </c>
      <c r="P79" s="175" t="str">
        <f t="shared" si="12"/>
        <v/>
      </c>
      <c r="Q79" s="175" t="str">
        <f t="shared" si="12"/>
        <v/>
      </c>
      <c r="R79" s="175" t="str">
        <f t="shared" si="12"/>
        <v/>
      </c>
      <c r="S79" s="175" t="str">
        <f t="shared" si="12"/>
        <v/>
      </c>
      <c r="T79" s="175" t="str">
        <f t="shared" si="12"/>
        <v/>
      </c>
      <c r="U79" s="175" t="str">
        <f t="shared" si="12"/>
        <v/>
      </c>
      <c r="V79" s="175" t="str">
        <f t="shared" si="12"/>
        <v/>
      </c>
      <c r="W79" s="175" t="str">
        <f t="shared" si="12"/>
        <v/>
      </c>
      <c r="X79" s="175" t="str">
        <f t="shared" si="12"/>
        <v/>
      </c>
      <c r="Y79" s="175" t="str">
        <f t="shared" si="12"/>
        <v/>
      </c>
      <c r="Z79" s="175" t="str">
        <f t="shared" si="12"/>
        <v/>
      </c>
      <c r="AA79" s="175" t="str">
        <f t="shared" si="12"/>
        <v/>
      </c>
      <c r="AB79" s="175" t="str">
        <f t="shared" si="12"/>
        <v/>
      </c>
      <c r="AC79" s="175" t="str">
        <f t="shared" si="12"/>
        <v/>
      </c>
      <c r="AD79" s="175" t="str">
        <f t="shared" si="12"/>
        <v/>
      </c>
      <c r="AE79" s="175" t="str">
        <f t="shared" si="12"/>
        <v/>
      </c>
      <c r="AF79" s="175" t="str">
        <f t="shared" si="12"/>
        <v/>
      </c>
      <c r="AG79" s="175" t="str">
        <f t="shared" si="12"/>
        <v/>
      </c>
      <c r="AH79" s="175" t="str">
        <f t="shared" si="12"/>
        <v/>
      </c>
      <c r="AI79" s="175" t="str">
        <f t="shared" si="12"/>
        <v/>
      </c>
      <c r="AJ79" s="175" t="str">
        <f t="shared" si="12"/>
        <v/>
      </c>
      <c r="AK79" s="175" t="str">
        <f t="shared" ref="AK79:BP79" si="13">IFERROR(AVERAGE(AK72:AK73)*AK15,"")</f>
        <v/>
      </c>
      <c r="AL79" s="175" t="str">
        <f t="shared" si="13"/>
        <v/>
      </c>
      <c r="AM79" s="175" t="str">
        <f t="shared" si="13"/>
        <v/>
      </c>
      <c r="AN79" s="175" t="str">
        <f t="shared" si="13"/>
        <v/>
      </c>
      <c r="AO79" s="175" t="str">
        <f t="shared" si="13"/>
        <v/>
      </c>
      <c r="AP79" s="175" t="str">
        <f t="shared" si="13"/>
        <v/>
      </c>
      <c r="AQ79" s="175" t="str">
        <f t="shared" si="13"/>
        <v/>
      </c>
      <c r="AR79" s="175" t="str">
        <f t="shared" si="13"/>
        <v/>
      </c>
      <c r="AS79" s="175" t="str">
        <f t="shared" si="13"/>
        <v/>
      </c>
      <c r="AT79" s="175" t="str">
        <f t="shared" si="13"/>
        <v/>
      </c>
      <c r="AU79" s="175" t="str">
        <f t="shared" si="13"/>
        <v/>
      </c>
      <c r="AV79" s="175" t="str">
        <f t="shared" si="13"/>
        <v/>
      </c>
      <c r="AW79" s="175" t="str">
        <f t="shared" si="13"/>
        <v/>
      </c>
      <c r="AX79" s="175" t="str">
        <f t="shared" si="13"/>
        <v/>
      </c>
      <c r="AY79" s="175" t="str">
        <f t="shared" si="13"/>
        <v/>
      </c>
      <c r="AZ79" s="175" t="str">
        <f t="shared" si="13"/>
        <v/>
      </c>
      <c r="BA79" s="175" t="str">
        <f t="shared" si="13"/>
        <v/>
      </c>
      <c r="BB79" s="175" t="str">
        <f t="shared" si="13"/>
        <v/>
      </c>
      <c r="BC79" s="175" t="str">
        <f t="shared" si="13"/>
        <v/>
      </c>
      <c r="BD79" s="175" t="str">
        <f t="shared" si="13"/>
        <v/>
      </c>
      <c r="BE79" s="175" t="str">
        <f t="shared" si="13"/>
        <v/>
      </c>
      <c r="BF79" s="175" t="str">
        <f t="shared" si="13"/>
        <v/>
      </c>
      <c r="BG79" s="175" t="str">
        <f t="shared" si="13"/>
        <v/>
      </c>
      <c r="BH79" s="175" t="str">
        <f t="shared" si="13"/>
        <v/>
      </c>
      <c r="BI79" s="175" t="str">
        <f t="shared" si="13"/>
        <v/>
      </c>
      <c r="BJ79" s="175" t="str">
        <f t="shared" si="13"/>
        <v/>
      </c>
      <c r="BK79" s="175" t="str">
        <f t="shared" si="13"/>
        <v/>
      </c>
      <c r="BL79" s="175" t="str">
        <f t="shared" si="13"/>
        <v/>
      </c>
      <c r="BM79" s="175" t="str">
        <f t="shared" si="13"/>
        <v/>
      </c>
      <c r="BN79" s="175" t="str">
        <f t="shared" si="13"/>
        <v/>
      </c>
      <c r="BO79" s="175" t="str">
        <f t="shared" si="13"/>
        <v/>
      </c>
      <c r="BP79" s="175" t="str">
        <f t="shared" si="13"/>
        <v/>
      </c>
      <c r="BQ79" s="175" t="str">
        <f t="shared" ref="BQ79:CY79" si="14">IFERROR(AVERAGE(BQ72:BQ73)*BQ15,"")</f>
        <v/>
      </c>
      <c r="BR79" s="175" t="str">
        <f t="shared" si="14"/>
        <v/>
      </c>
      <c r="BS79" s="175" t="str">
        <f t="shared" si="14"/>
        <v/>
      </c>
      <c r="BT79" s="175" t="str">
        <f t="shared" si="14"/>
        <v/>
      </c>
      <c r="BU79" s="175" t="str">
        <f t="shared" si="14"/>
        <v/>
      </c>
      <c r="BV79" s="175" t="str">
        <f t="shared" si="14"/>
        <v/>
      </c>
      <c r="BW79" s="175" t="str">
        <f t="shared" si="14"/>
        <v/>
      </c>
      <c r="BX79" s="175" t="str">
        <f t="shared" si="14"/>
        <v/>
      </c>
      <c r="BY79" s="175" t="str">
        <f t="shared" si="14"/>
        <v/>
      </c>
      <c r="BZ79" s="175" t="str">
        <f t="shared" si="14"/>
        <v/>
      </c>
      <c r="CA79" s="175" t="str">
        <f t="shared" si="14"/>
        <v/>
      </c>
      <c r="CB79" s="175" t="str">
        <f t="shared" si="14"/>
        <v/>
      </c>
      <c r="CC79" s="175" t="str">
        <f t="shared" si="14"/>
        <v/>
      </c>
      <c r="CD79" s="175" t="str">
        <f t="shared" si="14"/>
        <v/>
      </c>
      <c r="CE79" s="175" t="str">
        <f t="shared" si="14"/>
        <v/>
      </c>
      <c r="CF79" s="175" t="str">
        <f t="shared" si="14"/>
        <v/>
      </c>
      <c r="CG79" s="175" t="str">
        <f t="shared" si="14"/>
        <v/>
      </c>
      <c r="CH79" s="175" t="str">
        <f t="shared" si="14"/>
        <v/>
      </c>
      <c r="CI79" s="175" t="str">
        <f t="shared" si="14"/>
        <v/>
      </c>
      <c r="CJ79" s="175" t="str">
        <f t="shared" si="14"/>
        <v/>
      </c>
      <c r="CK79" s="175" t="str">
        <f t="shared" si="14"/>
        <v/>
      </c>
      <c r="CL79" s="175" t="str">
        <f t="shared" si="14"/>
        <v/>
      </c>
      <c r="CM79" s="175" t="str">
        <f t="shared" si="14"/>
        <v/>
      </c>
      <c r="CN79" s="175" t="str">
        <f t="shared" si="14"/>
        <v/>
      </c>
      <c r="CO79" s="175" t="str">
        <f t="shared" si="14"/>
        <v/>
      </c>
      <c r="CP79" s="175" t="str">
        <f t="shared" si="14"/>
        <v/>
      </c>
      <c r="CQ79" s="175" t="str">
        <f t="shared" si="14"/>
        <v/>
      </c>
      <c r="CR79" s="175" t="str">
        <f t="shared" si="14"/>
        <v/>
      </c>
      <c r="CS79" s="175" t="str">
        <f t="shared" si="14"/>
        <v/>
      </c>
      <c r="CT79" s="175" t="str">
        <f t="shared" si="14"/>
        <v/>
      </c>
      <c r="CU79" s="175" t="str">
        <f t="shared" si="14"/>
        <v/>
      </c>
      <c r="CV79" s="175" t="str">
        <f t="shared" si="14"/>
        <v/>
      </c>
      <c r="CW79" s="175" t="str">
        <f t="shared" si="14"/>
        <v/>
      </c>
      <c r="CX79" s="175" t="str">
        <f t="shared" si="14"/>
        <v/>
      </c>
      <c r="CY79" s="175" t="str">
        <f t="shared" si="14"/>
        <v/>
      </c>
      <c r="CZ79" s="183">
        <f>IFERROR(AVERAGE(CZ76:CZ78),"")</f>
        <v>0.73445927915366049</v>
      </c>
    </row>
    <row r="80" spans="1:105" s="187" customFormat="1" x14ac:dyDescent="0.3">
      <c r="C80" s="1578"/>
      <c r="D80" s="184"/>
      <c r="E80" s="185"/>
      <c r="F80" s="185"/>
      <c r="G80" s="185"/>
      <c r="H80" s="185"/>
      <c r="I80" s="185"/>
      <c r="J80" s="185"/>
      <c r="K80" s="185"/>
      <c r="L80" s="185"/>
      <c r="M80" s="185"/>
      <c r="N80" s="185"/>
      <c r="O80" s="185"/>
      <c r="P80" s="185"/>
      <c r="Q80" s="185"/>
      <c r="R80" s="185"/>
      <c r="S80" s="186"/>
      <c r="T80" s="186"/>
      <c r="U80" s="186"/>
      <c r="V80" s="186"/>
      <c r="W80" s="186"/>
      <c r="X80" s="186"/>
      <c r="Y80" s="186"/>
      <c r="Z80" s="186"/>
      <c r="AA80" s="186"/>
      <c r="AB80" s="186"/>
      <c r="AC80" s="186"/>
      <c r="AD80" s="186"/>
      <c r="AE80" s="186"/>
      <c r="AF80" s="186"/>
      <c r="AG80" s="186"/>
      <c r="AH80" s="186"/>
      <c r="AI80" s="186"/>
      <c r="AJ80" s="186"/>
      <c r="AK80" s="186"/>
      <c r="AL80" s="186"/>
      <c r="AM80" s="186"/>
      <c r="AN80" s="186"/>
      <c r="AO80" s="186"/>
      <c r="AP80" s="186"/>
      <c r="AQ80" s="186"/>
      <c r="AR80" s="186"/>
      <c r="AS80" s="186"/>
      <c r="AT80" s="186"/>
      <c r="AU80" s="186"/>
      <c r="AV80" s="186"/>
      <c r="AW80" s="186"/>
      <c r="AX80" s="186"/>
      <c r="AY80" s="186"/>
      <c r="AZ80" s="186"/>
      <c r="BA80" s="186"/>
      <c r="BB80" s="186"/>
      <c r="BC80" s="186"/>
      <c r="BD80" s="186"/>
      <c r="BE80" s="186"/>
    </row>
    <row r="81" spans="1:104" s="180" customFormat="1" ht="29.25" customHeight="1" x14ac:dyDescent="0.3">
      <c r="B81" s="2516"/>
      <c r="C81" s="2516"/>
      <c r="D81" s="2516"/>
      <c r="E81" s="188"/>
      <c r="F81" s="188"/>
      <c r="G81" s="188"/>
      <c r="H81" s="188"/>
      <c r="I81" s="188"/>
      <c r="J81" s="188"/>
      <c r="K81" s="188"/>
      <c r="L81" s="188"/>
      <c r="M81" s="188"/>
      <c r="N81" s="188"/>
      <c r="O81" s="188"/>
      <c r="P81" s="188"/>
      <c r="Q81" s="188"/>
      <c r="R81" s="188"/>
      <c r="S81" s="189"/>
      <c r="T81" s="189"/>
      <c r="U81" s="189"/>
      <c r="V81" s="189"/>
      <c r="W81" s="189"/>
      <c r="X81" s="189"/>
      <c r="Y81" s="189"/>
      <c r="Z81" s="189"/>
      <c r="AA81" s="189"/>
      <c r="AB81" s="189"/>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89"/>
      <c r="AY81" s="189"/>
      <c r="AZ81" s="189"/>
      <c r="BA81" s="189"/>
      <c r="BB81" s="189"/>
      <c r="BC81" s="189"/>
      <c r="BD81" s="189"/>
      <c r="BE81" s="189"/>
    </row>
    <row r="82" spans="1:104" s="180" customFormat="1" x14ac:dyDescent="0.3">
      <c r="C82" s="181"/>
      <c r="E82" s="1183"/>
      <c r="F82" s="1183"/>
      <c r="G82" s="1183"/>
      <c r="H82" s="1183"/>
      <c r="I82" s="1183"/>
      <c r="J82" s="1183"/>
      <c r="K82" s="1183"/>
      <c r="L82" s="1183"/>
      <c r="M82" s="1183"/>
      <c r="N82" s="1183"/>
      <c r="O82" s="1183"/>
      <c r="P82" s="1183"/>
      <c r="Q82" s="1183"/>
      <c r="R82" s="1183"/>
      <c r="S82" s="1184"/>
      <c r="T82" s="1184"/>
      <c r="U82" s="1184"/>
      <c r="V82" s="1184"/>
      <c r="W82" s="1184"/>
      <c r="X82" s="1184"/>
      <c r="Y82" s="1184"/>
      <c r="Z82" s="1184"/>
      <c r="AA82" s="1184"/>
      <c r="AB82" s="1184"/>
      <c r="AC82" s="1184"/>
      <c r="AD82" s="1184"/>
      <c r="AE82" s="1184"/>
      <c r="AF82" s="1184"/>
      <c r="AG82" s="1184"/>
      <c r="AH82" s="1184"/>
      <c r="AI82" s="1184"/>
      <c r="AJ82" s="1184"/>
      <c r="AK82" s="1184"/>
      <c r="AL82" s="1184"/>
      <c r="AM82" s="1184"/>
      <c r="AN82" s="1184"/>
      <c r="AO82" s="1184"/>
      <c r="AP82" s="1184"/>
      <c r="AQ82" s="1184"/>
      <c r="AR82" s="1184"/>
      <c r="AS82" s="1184"/>
      <c r="AT82" s="1184"/>
      <c r="AU82" s="1184"/>
      <c r="AV82" s="1184"/>
      <c r="AW82" s="1184"/>
      <c r="AX82" s="1184"/>
      <c r="AY82" s="1184"/>
      <c r="AZ82" s="1184"/>
      <c r="BA82" s="1184"/>
      <c r="BB82" s="1184"/>
      <c r="BC82" s="1184"/>
      <c r="BD82" s="1184"/>
      <c r="BE82" s="1184"/>
    </row>
    <row r="83" spans="1:104" ht="17.399999999999999" hidden="1" x14ac:dyDescent="0.3">
      <c r="G83" s="91"/>
      <c r="H83" s="65"/>
      <c r="I83" s="65"/>
      <c r="J83" s="65"/>
      <c r="CZ83" s="170" t="str">
        <f>IFERROR((E83*$E$15+F83*$F$15+G83*$G$15+H83*$H$15+I83*$I$15+#REF!*#REF!/SUMIF(E83:CY83,"&gt;0",E24:CY24)),"")</f>
        <v/>
      </c>
    </row>
    <row r="84" spans="1:104" hidden="1" x14ac:dyDescent="0.3">
      <c r="G84" s="91"/>
      <c r="H84" s="65"/>
      <c r="I84" s="65"/>
      <c r="J84" s="65"/>
      <c r="L84" s="65"/>
    </row>
    <row r="85" spans="1:104" hidden="1" x14ac:dyDescent="0.3">
      <c r="D85" s="1185"/>
      <c r="G85" s="91"/>
      <c r="H85" s="65"/>
      <c r="I85" s="65"/>
      <c r="J85" s="65"/>
    </row>
    <row r="86" spans="1:104" hidden="1" x14ac:dyDescent="0.3"/>
    <row r="87" spans="1:104" hidden="1" x14ac:dyDescent="0.3"/>
    <row r="88" spans="1:104" hidden="1" x14ac:dyDescent="0.3"/>
    <row r="89" spans="1:104" hidden="1" x14ac:dyDescent="0.3">
      <c r="F89" s="191"/>
    </row>
    <row r="90" spans="1:104" hidden="1" x14ac:dyDescent="0.3">
      <c r="F90" s="191"/>
      <c r="G90" s="65"/>
      <c r="H90" s="65"/>
      <c r="I90" s="192"/>
      <c r="J90" s="192"/>
    </row>
    <row r="91" spans="1:104" ht="15" hidden="1" x14ac:dyDescent="0.3">
      <c r="B91" s="1186"/>
      <c r="F91" s="191"/>
      <c r="G91" s="93"/>
      <c r="H91" s="65"/>
      <c r="I91" s="192"/>
      <c r="J91" s="192"/>
    </row>
    <row r="92" spans="1:104" ht="15" hidden="1" x14ac:dyDescent="0.25">
      <c r="A92" s="201"/>
      <c r="B92" s="1187" t="s">
        <v>173</v>
      </c>
      <c r="C92" s="201"/>
      <c r="D92" s="201"/>
      <c r="E92" s="202"/>
      <c r="F92" s="203"/>
      <c r="G92" s="192"/>
      <c r="H92" s="192"/>
      <c r="I92" s="192"/>
      <c r="J92" s="192"/>
      <c r="K92" s="2517" t="s">
        <v>279</v>
      </c>
      <c r="L92" s="2517"/>
      <c r="M92" s="2517"/>
      <c r="N92" s="2517"/>
      <c r="O92" s="2517"/>
      <c r="P92" s="2517"/>
      <c r="Q92" s="2517"/>
    </row>
    <row r="93" spans="1:104" ht="15" hidden="1" x14ac:dyDescent="0.25">
      <c r="A93" s="201"/>
      <c r="B93" s="1187" t="s">
        <v>280</v>
      </c>
      <c r="C93" s="201"/>
      <c r="D93" s="201"/>
      <c r="E93" s="202"/>
      <c r="F93" s="202"/>
      <c r="G93" s="202"/>
      <c r="H93" s="202"/>
      <c r="I93" s="202"/>
      <c r="J93" s="202"/>
      <c r="K93" s="29"/>
      <c r="L93" s="2518" t="s">
        <v>281</v>
      </c>
      <c r="M93" s="2518"/>
      <c r="N93" s="2518"/>
      <c r="O93" s="2518"/>
      <c r="P93" s="2518"/>
      <c r="Q93" s="2518"/>
    </row>
    <row r="94" spans="1:104" ht="15" hidden="1" x14ac:dyDescent="0.3">
      <c r="A94" s="201"/>
      <c r="B94" s="1187" t="s">
        <v>282</v>
      </c>
      <c r="C94" s="201"/>
      <c r="D94" s="201"/>
      <c r="E94" s="202"/>
      <c r="F94" s="2519" t="s">
        <v>281</v>
      </c>
      <c r="G94" s="2520"/>
      <c r="H94" s="2521"/>
      <c r="I94" s="1188"/>
      <c r="J94" s="202"/>
      <c r="K94" s="1189"/>
      <c r="L94" s="2522" t="s">
        <v>165</v>
      </c>
      <c r="M94" s="2522"/>
      <c r="N94" s="2523" t="s">
        <v>166</v>
      </c>
      <c r="O94" s="2523"/>
      <c r="P94" s="2524" t="s">
        <v>167</v>
      </c>
      <c r="Q94" s="2524"/>
    </row>
    <row r="95" spans="1:104" hidden="1" x14ac:dyDescent="0.3">
      <c r="A95" s="201"/>
      <c r="B95" s="204"/>
      <c r="C95" s="201"/>
      <c r="D95" s="201"/>
      <c r="E95" s="1190" t="s">
        <v>200</v>
      </c>
      <c r="F95" s="1191" t="s">
        <v>165</v>
      </c>
      <c r="G95" s="1191" t="s">
        <v>166</v>
      </c>
      <c r="H95" s="1192" t="s">
        <v>167</v>
      </c>
      <c r="I95" s="1193" t="s">
        <v>283</v>
      </c>
      <c r="J95" s="202"/>
      <c r="K95" s="1190" t="s">
        <v>200</v>
      </c>
      <c r="L95" s="1194" t="s">
        <v>284</v>
      </c>
      <c r="M95" s="1194" t="s">
        <v>285</v>
      </c>
      <c r="N95" s="1195" t="s">
        <v>284</v>
      </c>
      <c r="O95" s="1195" t="s">
        <v>285</v>
      </c>
      <c r="P95" s="1196" t="s">
        <v>284</v>
      </c>
      <c r="Q95" s="1196" t="s">
        <v>285</v>
      </c>
    </row>
    <row r="96" spans="1:104" hidden="1" x14ac:dyDescent="0.3">
      <c r="A96" s="201"/>
      <c r="B96" s="204"/>
      <c r="C96" s="201"/>
      <c r="D96" s="201"/>
      <c r="E96" s="1197" t="s">
        <v>286</v>
      </c>
      <c r="F96" s="1198">
        <v>0</v>
      </c>
      <c r="G96" s="1198">
        <v>0</v>
      </c>
      <c r="H96" s="1198">
        <v>0</v>
      </c>
      <c r="I96" s="1193" t="s">
        <v>286</v>
      </c>
      <c r="J96" s="202"/>
      <c r="K96" s="1197" t="s">
        <v>288</v>
      </c>
      <c r="L96" s="1199">
        <v>1</v>
      </c>
      <c r="M96" s="1200">
        <v>0.7</v>
      </c>
      <c r="N96" s="1201">
        <v>1</v>
      </c>
      <c r="O96" s="1202">
        <f>ParaminMedia</f>
        <v>0.75</v>
      </c>
      <c r="P96" s="1203">
        <v>1</v>
      </c>
      <c r="Q96" s="1204">
        <f>ParaminAlta</f>
        <v>0.8</v>
      </c>
    </row>
    <row r="97" spans="1:17" hidden="1" x14ac:dyDescent="0.3">
      <c r="A97" s="201"/>
      <c r="B97" s="201"/>
      <c r="C97" s="201"/>
      <c r="D97" s="201"/>
      <c r="E97" s="1205" t="s">
        <v>289</v>
      </c>
      <c r="F97" s="1198">
        <f>F98-5%</f>
        <v>0.64999999999999991</v>
      </c>
      <c r="G97" s="1198">
        <f>G98-5%</f>
        <v>0.7</v>
      </c>
      <c r="H97" s="1198">
        <f>H98-5%</f>
        <v>0.75</v>
      </c>
      <c r="I97" s="1193" t="s">
        <v>289</v>
      </c>
      <c r="J97" s="202"/>
      <c r="K97" s="1205" t="s">
        <v>290</v>
      </c>
      <c r="L97" s="1206">
        <v>0.69989999999999997</v>
      </c>
      <c r="M97" s="1200">
        <v>0.65</v>
      </c>
      <c r="N97" s="1207">
        <v>0.74990000000000001</v>
      </c>
      <c r="O97" s="1202">
        <v>0.7</v>
      </c>
      <c r="P97" s="1208">
        <v>0.79990000000000006</v>
      </c>
      <c r="Q97" s="1204">
        <v>0.75</v>
      </c>
    </row>
    <row r="98" spans="1:17" hidden="1" x14ac:dyDescent="0.3">
      <c r="A98" s="201"/>
      <c r="B98" s="201"/>
      <c r="C98" s="201"/>
      <c r="D98" s="201"/>
      <c r="E98" s="1197" t="s">
        <v>291</v>
      </c>
      <c r="F98" s="1198">
        <f>ParaminBaja</f>
        <v>0.7</v>
      </c>
      <c r="G98" s="1198">
        <f>ParaminMedia</f>
        <v>0.75</v>
      </c>
      <c r="H98" s="1198">
        <f>ParaminAlta</f>
        <v>0.8</v>
      </c>
      <c r="I98" s="1193" t="s">
        <v>291</v>
      </c>
      <c r="J98" s="202"/>
      <c r="K98" s="1197" t="s">
        <v>287</v>
      </c>
      <c r="L98" s="1206">
        <v>0.64990000000000003</v>
      </c>
      <c r="M98" s="1200">
        <v>0</v>
      </c>
      <c r="N98" s="1207">
        <v>0.69989999999999997</v>
      </c>
      <c r="O98" s="1202">
        <v>0</v>
      </c>
      <c r="P98" s="1208">
        <v>0.74990000000000001</v>
      </c>
      <c r="Q98" s="1204">
        <v>0</v>
      </c>
    </row>
    <row r="99" spans="1:17" ht="17.25" hidden="1" customHeight="1" x14ac:dyDescent="0.3">
      <c r="A99" s="201"/>
      <c r="B99" s="201"/>
      <c r="C99" s="201"/>
      <c r="D99" s="201"/>
      <c r="E99" s="202"/>
      <c r="F99" s="202"/>
      <c r="G99" s="202"/>
      <c r="H99" s="202"/>
      <c r="I99" s="202"/>
      <c r="J99" s="202"/>
      <c r="K99" s="202"/>
      <c r="L99" s="202"/>
      <c r="M99" s="202"/>
      <c r="N99" s="202"/>
      <c r="O99" s="202"/>
      <c r="P99" s="202"/>
      <c r="Q99" s="202"/>
    </row>
    <row r="100" spans="1:17" ht="14.4" hidden="1" thickBot="1" x14ac:dyDescent="0.35">
      <c r="A100" s="201"/>
      <c r="B100" s="201"/>
      <c r="C100" s="201"/>
      <c r="D100" s="201"/>
      <c r="E100" s="202"/>
      <c r="F100" s="1209"/>
      <c r="G100" s="2525" t="s">
        <v>457</v>
      </c>
      <c r="H100" s="2526"/>
      <c r="I100" s="2527"/>
      <c r="J100" s="192"/>
      <c r="K100" s="202"/>
      <c r="L100" s="202"/>
      <c r="M100" s="202"/>
      <c r="N100" s="202"/>
      <c r="O100" s="202"/>
      <c r="P100" s="202"/>
      <c r="Q100" s="202"/>
    </row>
    <row r="101" spans="1:17" ht="27" hidden="1" thickBot="1" x14ac:dyDescent="0.35">
      <c r="A101" s="201"/>
      <c r="B101" s="201"/>
      <c r="C101" s="201"/>
      <c r="D101" s="201"/>
      <c r="E101" s="202"/>
      <c r="F101" s="1210" t="s">
        <v>292</v>
      </c>
      <c r="G101" s="1211" t="s">
        <v>165</v>
      </c>
      <c r="H101" s="1211" t="s">
        <v>166</v>
      </c>
      <c r="I101" s="1212" t="s">
        <v>167</v>
      </c>
      <c r="J101" s="202"/>
      <c r="K101" s="202"/>
      <c r="L101" s="202"/>
      <c r="M101" s="202"/>
      <c r="N101" s="202"/>
      <c r="O101" s="202"/>
      <c r="P101" s="202"/>
      <c r="Q101" s="202"/>
    </row>
    <row r="102" spans="1:17" ht="20.25" hidden="1" customHeight="1" thickBot="1" x14ac:dyDescent="0.35">
      <c r="A102" s="201"/>
      <c r="B102" s="201"/>
      <c r="C102" s="201"/>
      <c r="D102" s="201"/>
      <c r="E102" s="2528" t="s">
        <v>293</v>
      </c>
      <c r="F102" s="1213" t="s">
        <v>294</v>
      </c>
      <c r="G102" s="1214">
        <v>0.7</v>
      </c>
      <c r="H102" s="1214">
        <v>0.7</v>
      </c>
      <c r="I102" s="1214">
        <v>0.7</v>
      </c>
      <c r="J102" s="202"/>
      <c r="K102" s="202"/>
      <c r="L102" s="202"/>
      <c r="M102" s="202"/>
      <c r="N102" s="202"/>
      <c r="O102" s="202"/>
      <c r="P102" s="202"/>
      <c r="Q102" s="202"/>
    </row>
    <row r="103" spans="1:17" ht="27" hidden="1" thickBot="1" x14ac:dyDescent="0.35">
      <c r="A103" s="201"/>
      <c r="B103" s="203"/>
      <c r="C103" s="203"/>
      <c r="D103" s="203"/>
      <c r="E103" s="2529"/>
      <c r="F103" s="1213" t="s">
        <v>295</v>
      </c>
      <c r="G103" s="1214">
        <v>0.7</v>
      </c>
      <c r="H103" s="1214">
        <v>0.7</v>
      </c>
      <c r="I103" s="1214">
        <v>0.7</v>
      </c>
      <c r="J103" s="202"/>
      <c r="K103" s="1215"/>
      <c r="L103" s="202"/>
      <c r="M103" s="202"/>
      <c r="N103" s="202"/>
      <c r="O103" s="202"/>
      <c r="P103" s="202"/>
      <c r="Q103" s="202"/>
    </row>
    <row r="104" spans="1:17" ht="29.25" hidden="1" customHeight="1" thickBot="1" x14ac:dyDescent="0.35">
      <c r="A104" s="201"/>
      <c r="B104" s="203"/>
      <c r="C104" s="203"/>
      <c r="D104" s="203"/>
      <c r="E104" s="2529"/>
      <c r="F104" s="1213" t="s">
        <v>296</v>
      </c>
      <c r="G104" s="1214">
        <v>0.7</v>
      </c>
      <c r="H104" s="1214">
        <v>0.7</v>
      </c>
      <c r="I104" s="1214">
        <v>0.7</v>
      </c>
      <c r="J104" s="202"/>
      <c r="K104" s="1216"/>
      <c r="L104" s="202"/>
      <c r="M104" s="202"/>
      <c r="N104" s="202"/>
      <c r="O104" s="202"/>
      <c r="P104" s="202"/>
      <c r="Q104" s="202"/>
    </row>
    <row r="105" spans="1:17" ht="27" hidden="1" thickBot="1" x14ac:dyDescent="0.35">
      <c r="A105" s="201"/>
      <c r="B105" s="203"/>
      <c r="C105" s="203"/>
      <c r="D105" s="203"/>
      <c r="E105" s="2530"/>
      <c r="F105" s="1213" t="s">
        <v>298</v>
      </c>
      <c r="G105" s="1214">
        <v>0.7</v>
      </c>
      <c r="H105" s="1214">
        <v>0.7</v>
      </c>
      <c r="I105" s="1214">
        <v>0.7</v>
      </c>
      <c r="J105" s="202"/>
      <c r="K105" s="1216"/>
      <c r="L105" s="202"/>
      <c r="M105" s="202"/>
      <c r="N105" s="202"/>
      <c r="O105" s="202"/>
      <c r="P105" s="202"/>
      <c r="Q105" s="202"/>
    </row>
    <row r="106" spans="1:17" ht="14.4" hidden="1" thickBot="1" x14ac:dyDescent="0.35">
      <c r="A106" s="201"/>
      <c r="B106" s="201"/>
      <c r="C106" s="203"/>
      <c r="D106" s="203"/>
      <c r="E106" s="2514" t="s">
        <v>297</v>
      </c>
      <c r="F106" s="1213" t="s">
        <v>202</v>
      </c>
      <c r="G106" s="1214">
        <v>0.8</v>
      </c>
      <c r="H106" s="1214">
        <v>0.8</v>
      </c>
      <c r="I106" s="1214">
        <v>0.8</v>
      </c>
      <c r="J106" s="202"/>
      <c r="K106" s="202"/>
      <c r="L106" s="202"/>
      <c r="M106" s="202"/>
      <c r="N106" s="202"/>
      <c r="O106" s="202"/>
      <c r="P106" s="202"/>
      <c r="Q106" s="202"/>
    </row>
    <row r="107" spans="1:17" ht="27" hidden="1" thickBot="1" x14ac:dyDescent="0.35">
      <c r="A107" s="201"/>
      <c r="B107" s="201"/>
      <c r="C107" s="204"/>
      <c r="D107" s="201"/>
      <c r="E107" s="2515"/>
      <c r="F107" s="1213" t="s">
        <v>299</v>
      </c>
      <c r="G107" s="1214">
        <v>0.8</v>
      </c>
      <c r="H107" s="1214">
        <v>0.8</v>
      </c>
      <c r="I107" s="1214">
        <v>0.8</v>
      </c>
      <c r="J107" s="202"/>
      <c r="K107" s="202"/>
      <c r="L107" s="202"/>
      <c r="M107" s="202"/>
      <c r="N107" s="202"/>
      <c r="O107" s="202"/>
      <c r="P107" s="202"/>
      <c r="Q107" s="202"/>
    </row>
    <row r="108" spans="1:17" ht="14.4" hidden="1" thickBot="1" x14ac:dyDescent="0.35">
      <c r="A108" s="201"/>
      <c r="B108" s="201"/>
      <c r="C108" s="204"/>
      <c r="D108" s="201"/>
      <c r="E108" s="2515"/>
      <c r="F108" s="1213" t="s">
        <v>204</v>
      </c>
      <c r="G108" s="1214">
        <v>0.8</v>
      </c>
      <c r="H108" s="1214">
        <v>0.8</v>
      </c>
      <c r="I108" s="1214">
        <v>0.8</v>
      </c>
      <c r="J108" s="202"/>
      <c r="K108" s="202"/>
      <c r="L108" s="202"/>
      <c r="M108" s="202"/>
      <c r="N108" s="202"/>
      <c r="O108" s="202"/>
      <c r="P108" s="202"/>
      <c r="Q108" s="202"/>
    </row>
    <row r="109" spans="1:17" ht="14.4" hidden="1" thickBot="1" x14ac:dyDescent="0.35">
      <c r="A109" s="201"/>
      <c r="B109" s="201"/>
      <c r="C109" s="204"/>
      <c r="D109" s="201"/>
      <c r="E109" s="2515"/>
      <c r="F109" s="1213" t="s">
        <v>205</v>
      </c>
      <c r="G109" s="1214">
        <v>0.9</v>
      </c>
      <c r="H109" s="1214">
        <v>0.9</v>
      </c>
      <c r="I109" s="1214">
        <v>0.9</v>
      </c>
      <c r="J109" s="202"/>
      <c r="K109" s="202"/>
      <c r="L109" s="202"/>
      <c r="M109" s="202"/>
      <c r="N109" s="202"/>
      <c r="O109" s="202"/>
      <c r="P109" s="202"/>
      <c r="Q109" s="202"/>
    </row>
    <row r="110" spans="1:17" hidden="1" x14ac:dyDescent="0.3">
      <c r="A110" s="201"/>
      <c r="B110" s="201"/>
      <c r="C110" s="204"/>
      <c r="D110" s="201"/>
      <c r="E110" s="2515"/>
      <c r="F110" s="1217" t="s">
        <v>203</v>
      </c>
      <c r="G110" s="1218">
        <v>1</v>
      </c>
      <c r="H110" s="1218">
        <v>1</v>
      </c>
      <c r="I110" s="1218">
        <v>1</v>
      </c>
      <c r="J110" s="202"/>
      <c r="K110" s="202"/>
      <c r="L110" s="202"/>
      <c r="M110" s="202"/>
      <c r="N110" s="202"/>
      <c r="O110" s="202"/>
      <c r="P110" s="202"/>
      <c r="Q110" s="202"/>
    </row>
    <row r="111" spans="1:17" hidden="1" x14ac:dyDescent="0.3">
      <c r="I111" s="1219"/>
    </row>
    <row r="112" spans="1:17" hidden="1" x14ac:dyDescent="0.3"/>
    <row r="113" spans="5:5" hidden="1" x14ac:dyDescent="0.3"/>
    <row r="114" spans="5:5" hidden="1" x14ac:dyDescent="0.3"/>
    <row r="115" spans="5:5" hidden="1" x14ac:dyDescent="0.3">
      <c r="E115" s="160" t="s">
        <v>187</v>
      </c>
    </row>
    <row r="116" spans="5:5" hidden="1" x14ac:dyDescent="0.3">
      <c r="E116" s="160" t="s">
        <v>193</v>
      </c>
    </row>
    <row r="117" spans="5:5" ht="14.4" hidden="1" thickBot="1" x14ac:dyDescent="0.35">
      <c r="E117" s="165" t="s">
        <v>195</v>
      </c>
    </row>
    <row r="118" spans="5:5" hidden="1" x14ac:dyDescent="0.3"/>
    <row r="119" spans="5:5" hidden="1" x14ac:dyDescent="0.3"/>
    <row r="120" spans="5:5" hidden="1" x14ac:dyDescent="0.3"/>
    <row r="121" spans="5:5" hidden="1" x14ac:dyDescent="0.3"/>
    <row r="122" spans="5:5" hidden="1" x14ac:dyDescent="0.3"/>
    <row r="123" spans="5:5" hidden="1" x14ac:dyDescent="0.3"/>
    <row r="124" spans="5:5" hidden="1" x14ac:dyDescent="0.3"/>
    <row r="125" spans="5:5" hidden="1" x14ac:dyDescent="0.3"/>
    <row r="126" spans="5:5" hidden="1" x14ac:dyDescent="0.3"/>
    <row r="127" spans="5:5" hidden="1" x14ac:dyDescent="0.3"/>
    <row r="128" spans="5:5" hidden="1" x14ac:dyDescent="0.3"/>
    <row r="129" hidden="1" x14ac:dyDescent="0.3"/>
    <row r="65297" spans="4:4" x14ac:dyDescent="0.3">
      <c r="D65297" s="193"/>
    </row>
    <row r="65371" spans="1:5" x14ac:dyDescent="0.3">
      <c r="A65371" s="160" t="s">
        <v>187</v>
      </c>
      <c r="B65371" s="201"/>
      <c r="C65371" s="204"/>
      <c r="D65371" s="201"/>
      <c r="E65371" s="202"/>
    </row>
    <row r="65372" spans="1:5" x14ac:dyDescent="0.3">
      <c r="A65372" s="160" t="s">
        <v>193</v>
      </c>
      <c r="B65372" s="201"/>
      <c r="C65372" s="204"/>
      <c r="D65372" s="201"/>
      <c r="E65372" s="202"/>
    </row>
    <row r="65373" spans="1:5" ht="14.4" thickBot="1" x14ac:dyDescent="0.35">
      <c r="A65373" s="165" t="s">
        <v>195</v>
      </c>
      <c r="B65373" s="201"/>
      <c r="C65373" s="204"/>
      <c r="D65373" s="201"/>
      <c r="E65373" s="202"/>
    </row>
    <row r="65374" spans="1:5" x14ac:dyDescent="0.3">
      <c r="A65374" s="201"/>
      <c r="B65374" s="201"/>
      <c r="C65374" s="204"/>
      <c r="D65374" s="201"/>
      <c r="E65374" s="202"/>
    </row>
    <row r="65375" spans="1:5" x14ac:dyDescent="0.3">
      <c r="A65375" s="205"/>
      <c r="B65375" s="206"/>
      <c r="C65375" s="204"/>
      <c r="D65375" s="201"/>
      <c r="E65375" s="202"/>
    </row>
    <row r="65376" spans="1:5" x14ac:dyDescent="0.3">
      <c r="A65376" s="207"/>
      <c r="B65376" s="206"/>
      <c r="C65376" s="204"/>
      <c r="D65376" s="201"/>
      <c r="E65376" s="202"/>
    </row>
    <row r="65377" spans="1:5" x14ac:dyDescent="0.3">
      <c r="A65377" s="207"/>
      <c r="B65377" s="206"/>
      <c r="C65377" s="204"/>
      <c r="D65377" s="201"/>
      <c r="E65377" s="202"/>
    </row>
    <row r="65378" spans="1:5" x14ac:dyDescent="0.3">
      <c r="A65378" s="208" t="s">
        <v>300</v>
      </c>
      <c r="B65378" s="206"/>
      <c r="C65378" s="204"/>
      <c r="D65378" s="201"/>
      <c r="E65378" s="202"/>
    </row>
    <row r="65379" spans="1:5" ht="26.4" x14ac:dyDescent="0.3">
      <c r="A65379" s="208" t="s">
        <v>301</v>
      </c>
      <c r="B65379" s="206"/>
      <c r="C65379" s="209" t="s">
        <v>302</v>
      </c>
      <c r="D65379" s="210" t="s">
        <v>303</v>
      </c>
      <c r="E65379" s="211" t="s">
        <v>304</v>
      </c>
    </row>
    <row r="65380" spans="1:5" ht="26.4" x14ac:dyDescent="0.3">
      <c r="A65380" s="212" t="s">
        <v>305</v>
      </c>
      <c r="B65380" s="206"/>
      <c r="C65380" s="213">
        <v>100000</v>
      </c>
      <c r="D65380" s="214" t="s">
        <v>306</v>
      </c>
      <c r="E65380" s="203" t="str">
        <f>CONCATENATE(Dependencias[[#This Row],[CÓDIGO]]," - ",Dependencias[[#This Row],[DEPENDENCIA]])</f>
        <v xml:space="preserve">100000 - DIRECCIÓN SECTOR SALUD </v>
      </c>
    </row>
    <row r="65381" spans="1:5" x14ac:dyDescent="0.3">
      <c r="A65381" s="212" t="s">
        <v>307</v>
      </c>
      <c r="B65381" s="206"/>
      <c r="C65381" s="215">
        <v>110000</v>
      </c>
      <c r="D65381" s="216" t="s">
        <v>308</v>
      </c>
      <c r="E65381" s="203" t="str">
        <f>CONCATENATE(Dependencias[[#This Row],[CÓDIGO]]," - ",Dependencias[[#This Row],[DEPENDENCIA]])</f>
        <v xml:space="preserve">110000 - DIRECCIÓN SECTOR GOBIERNO </v>
      </c>
    </row>
    <row r="65382" spans="1:5" x14ac:dyDescent="0.3">
      <c r="A65382" s="212" t="s">
        <v>309</v>
      </c>
      <c r="B65382" s="206"/>
      <c r="C65382" s="213">
        <v>12000</v>
      </c>
      <c r="D65382" s="214" t="s">
        <v>310</v>
      </c>
      <c r="E65382" s="203" t="str">
        <f>CONCATENATE(Dependencias[[#This Row],[CÓDIGO]]," - ",Dependencias[[#This Row],[DEPENDENCIA]])</f>
        <v xml:space="preserve">12000 - DIRECCIÓN DE PARTICIPACIÓN CIUDADANA Y DESARROLLO LOCAL </v>
      </c>
    </row>
    <row r="65383" spans="1:5" ht="26.4" x14ac:dyDescent="0.3">
      <c r="A65383" s="212" t="s">
        <v>311</v>
      </c>
      <c r="B65383" s="206"/>
      <c r="C65383" s="213">
        <v>120000</v>
      </c>
      <c r="D65383" s="214" t="s">
        <v>312</v>
      </c>
      <c r="E65383" s="203" t="str">
        <f>CONCATENATE(Dependencias[[#This Row],[CÓDIGO]]," - ",Dependencias[[#This Row],[DEPENDENCIA]])</f>
        <v xml:space="preserve">120000 - DIRECCIÓN SECTOR EQUIDAD Y GÉNERO </v>
      </c>
    </row>
    <row r="65384" spans="1:5" x14ac:dyDescent="0.3">
      <c r="A65384" s="212" t="s">
        <v>313</v>
      </c>
      <c r="B65384" s="201"/>
      <c r="C65384" s="215">
        <v>12101</v>
      </c>
      <c r="D65384" s="216" t="s">
        <v>314</v>
      </c>
      <c r="E65384" s="203" t="str">
        <f>CONCATENATE(Dependencias[[#This Row],[CÓDIGO]]," - ",Dependencias[[#This Row],[DEPENDENCIA]])</f>
        <v>12101 - GERENCIA LOCAL USAQUÉN</v>
      </c>
    </row>
    <row r="65385" spans="1:5" x14ac:dyDescent="0.3">
      <c r="A65385" s="212" t="s">
        <v>315</v>
      </c>
      <c r="B65385" s="201"/>
      <c r="C65385" s="213">
        <v>12102</v>
      </c>
      <c r="D65385" s="214" t="s">
        <v>316</v>
      </c>
      <c r="E65385" s="203" t="str">
        <f>CONCATENATE(Dependencias[[#This Row],[CÓDIGO]]," - ",Dependencias[[#This Row],[DEPENDENCIA]])</f>
        <v xml:space="preserve">12102 - GERENCIA LOCAL CHAPINERO </v>
      </c>
    </row>
    <row r="65386" spans="1:5" ht="26.4" x14ac:dyDescent="0.3">
      <c r="A65386" s="212" t="s">
        <v>317</v>
      </c>
      <c r="B65386" s="201"/>
      <c r="C65386" s="215">
        <v>12103</v>
      </c>
      <c r="D65386" s="216" t="s">
        <v>318</v>
      </c>
      <c r="E65386" s="203" t="str">
        <f>CONCATENATE(Dependencias[[#This Row],[CÓDIGO]]," - ",Dependencias[[#This Row],[DEPENDENCIA]])</f>
        <v>12103 - GERENCIA LOCAL SANTAFÉ</v>
      </c>
    </row>
    <row r="65387" spans="1:5" ht="26.4" x14ac:dyDescent="0.3">
      <c r="A65387" s="212" t="s">
        <v>319</v>
      </c>
      <c r="B65387" s="201"/>
      <c r="C65387" s="213">
        <v>12104</v>
      </c>
      <c r="D65387" s="214" t="s">
        <v>320</v>
      </c>
      <c r="E65387" s="203" t="str">
        <f>CONCATENATE(Dependencias[[#This Row],[CÓDIGO]]," - ",Dependencias[[#This Row],[DEPENDENCIA]])</f>
        <v xml:space="preserve">12104 - GERENCIA LOCAL SAN CRISTÓBAL </v>
      </c>
    </row>
    <row r="65388" spans="1:5" ht="66" x14ac:dyDescent="0.3">
      <c r="A65388" s="217" t="s">
        <v>321</v>
      </c>
      <c r="B65388" s="201"/>
      <c r="C65388" s="215">
        <v>12105</v>
      </c>
      <c r="D65388" s="216" t="s">
        <v>322</v>
      </c>
      <c r="E65388" s="203" t="str">
        <f>CONCATENATE(Dependencias[[#This Row],[CÓDIGO]]," - ",Dependencias[[#This Row],[DEPENDENCIA]])</f>
        <v xml:space="preserve">12105 - GERENCIA LOCAL USME </v>
      </c>
    </row>
    <row r="65389" spans="1:5" ht="26.4" x14ac:dyDescent="0.3">
      <c r="A65389" s="212" t="s">
        <v>323</v>
      </c>
      <c r="B65389" s="201"/>
      <c r="C65389" s="213">
        <v>12106</v>
      </c>
      <c r="D65389" s="214" t="s">
        <v>324</v>
      </c>
      <c r="E65389" s="203" t="str">
        <f>CONCATENATE(Dependencias[[#This Row],[CÓDIGO]]," - ",Dependencias[[#This Row],[DEPENDENCIA]])</f>
        <v xml:space="preserve">12106 - GERENCIA LOCAL TUNJUELLTO </v>
      </c>
    </row>
    <row r="65390" spans="1:5" ht="26.4" x14ac:dyDescent="0.3">
      <c r="A65390" s="212" t="s">
        <v>325</v>
      </c>
      <c r="B65390" s="201"/>
      <c r="C65390" s="215">
        <v>12107</v>
      </c>
      <c r="D65390" s="216" t="s">
        <v>326</v>
      </c>
      <c r="E65390" s="203" t="str">
        <f>CONCATENATE(Dependencias[[#This Row],[CÓDIGO]]," - ",Dependencias[[#This Row],[DEPENDENCIA]])</f>
        <v xml:space="preserve">12107 - GERENCIA LOCAL BOSA </v>
      </c>
    </row>
    <row r="65391" spans="1:5" ht="26.4" x14ac:dyDescent="0.3">
      <c r="A65391" s="212" t="s">
        <v>327</v>
      </c>
      <c r="B65391" s="201"/>
      <c r="C65391" s="213">
        <v>12108</v>
      </c>
      <c r="D65391" s="214" t="s">
        <v>328</v>
      </c>
      <c r="E65391" s="203" t="str">
        <f>CONCATENATE(Dependencias[[#This Row],[CÓDIGO]]," - ",Dependencias[[#This Row],[DEPENDENCIA]])</f>
        <v xml:space="preserve">12108 - GERENCIA LOCAL KENNEDY </v>
      </c>
    </row>
    <row r="65392" spans="1:5" ht="26.4" x14ac:dyDescent="0.3">
      <c r="A65392" s="212" t="s">
        <v>329</v>
      </c>
      <c r="B65392" s="201"/>
      <c r="C65392" s="215">
        <v>12109</v>
      </c>
      <c r="D65392" s="216" t="s">
        <v>330</v>
      </c>
      <c r="E65392" s="203" t="str">
        <f>CONCATENATE(Dependencias[[#This Row],[CÓDIGO]]," - ",Dependencias[[#This Row],[DEPENDENCIA]])</f>
        <v xml:space="preserve">12109 - GERENCIA LOCAL FONTIBÓN </v>
      </c>
    </row>
    <row r="65393" spans="1:5" ht="26.4" x14ac:dyDescent="0.3">
      <c r="A65393" s="212" t="s">
        <v>331</v>
      </c>
      <c r="B65393" s="201"/>
      <c r="C65393" s="213">
        <v>12110</v>
      </c>
      <c r="D65393" s="214" t="s">
        <v>332</v>
      </c>
      <c r="E65393" s="203" t="str">
        <f>CONCATENATE(Dependencias[[#This Row],[CÓDIGO]]," - ",Dependencias[[#This Row],[DEPENDENCIA]])</f>
        <v xml:space="preserve">12110 - GERENCIA LOCAL ENGATIVÁ </v>
      </c>
    </row>
    <row r="65394" spans="1:5" ht="26.4" x14ac:dyDescent="0.3">
      <c r="A65394" s="212" t="s">
        <v>333</v>
      </c>
      <c r="B65394" s="201"/>
      <c r="C65394" s="215">
        <v>12111</v>
      </c>
      <c r="D65394" s="216" t="s">
        <v>334</v>
      </c>
      <c r="E65394" s="203" t="str">
        <f>CONCATENATE(Dependencias[[#This Row],[CÓDIGO]]," - ",Dependencias[[#This Row],[DEPENDENCIA]])</f>
        <v xml:space="preserve">12111 - GERENCIA LOCAL SUBA </v>
      </c>
    </row>
    <row r="65395" spans="1:5" ht="26.4" x14ac:dyDescent="0.3">
      <c r="A65395" s="212" t="s">
        <v>335</v>
      </c>
      <c r="B65395" s="201"/>
      <c r="C65395" s="213">
        <v>12112</v>
      </c>
      <c r="D65395" s="214" t="s">
        <v>336</v>
      </c>
      <c r="E65395" s="203" t="str">
        <f>CONCATENATE(Dependencias[[#This Row],[CÓDIGO]]," - ",Dependencias[[#This Row],[DEPENDENCIA]])</f>
        <v xml:space="preserve">12112 - GERENCIA LOCAL BARRIOS UNIDOS </v>
      </c>
    </row>
    <row r="65396" spans="1:5" ht="26.4" x14ac:dyDescent="0.3">
      <c r="A65396" s="212" t="s">
        <v>337</v>
      </c>
      <c r="B65396" s="201"/>
      <c r="C65396" s="215">
        <v>12113</v>
      </c>
      <c r="D65396" s="216" t="s">
        <v>338</v>
      </c>
      <c r="E65396" s="203" t="str">
        <f>CONCATENATE(Dependencias[[#This Row],[CÓDIGO]]," - ",Dependencias[[#This Row],[DEPENDENCIA]])</f>
        <v xml:space="preserve">12113 - GERENCIA LOCAL TEUSAQUILLO </v>
      </c>
    </row>
    <row r="65397" spans="1:5" ht="26.4" x14ac:dyDescent="0.3">
      <c r="A65397" s="212" t="s">
        <v>339</v>
      </c>
      <c r="B65397" s="201"/>
      <c r="C65397" s="213">
        <v>12114</v>
      </c>
      <c r="D65397" s="214" t="s">
        <v>340</v>
      </c>
      <c r="E65397" s="203" t="str">
        <f>CONCATENATE(Dependencias[[#This Row],[CÓDIGO]]," - ",Dependencias[[#This Row],[DEPENDENCIA]])</f>
        <v xml:space="preserve">12114 - GERENCIA LOCAL MÁRTIRES </v>
      </c>
    </row>
    <row r="65398" spans="1:5" ht="26.4" x14ac:dyDescent="0.3">
      <c r="A65398" s="212" t="s">
        <v>341</v>
      </c>
      <c r="B65398" s="201"/>
      <c r="C65398" s="215">
        <v>12115</v>
      </c>
      <c r="D65398" s="216" t="s">
        <v>342</v>
      </c>
      <c r="E65398" s="203" t="str">
        <f>CONCATENATE(Dependencias[[#This Row],[CÓDIGO]]," - ",Dependencias[[#This Row],[DEPENDENCIA]])</f>
        <v>12115 - GERENCIA LOCAL ANTONIO NARIÑO</v>
      </c>
    </row>
    <row r="65399" spans="1:5" ht="26.4" x14ac:dyDescent="0.3">
      <c r="A65399" s="212" t="s">
        <v>343</v>
      </c>
      <c r="B65399" s="201"/>
      <c r="C65399" s="213">
        <v>12116</v>
      </c>
      <c r="D65399" s="214" t="s">
        <v>344</v>
      </c>
      <c r="E65399" s="203" t="str">
        <f>CONCATENATE(Dependencias[[#This Row],[CÓDIGO]]," - ",Dependencias[[#This Row],[DEPENDENCIA]])</f>
        <v xml:space="preserve">12116 - GERENCIA LOCAL PUENTE ARANDA </v>
      </c>
    </row>
    <row r="65400" spans="1:5" ht="39.6" x14ac:dyDescent="0.3">
      <c r="A65400" s="212" t="s">
        <v>345</v>
      </c>
      <c r="B65400" s="201"/>
      <c r="C65400" s="215">
        <v>12117</v>
      </c>
      <c r="D65400" s="216" t="s">
        <v>346</v>
      </c>
      <c r="E65400" s="203" t="str">
        <f>CONCATENATE(Dependencias[[#This Row],[CÓDIGO]]," - ",Dependencias[[#This Row],[DEPENDENCIA]])</f>
        <v xml:space="preserve">12117 - GERENCIA LOCAL LA CANDELARIA </v>
      </c>
    </row>
    <row r="65401" spans="1:5" ht="26.4" x14ac:dyDescent="0.3">
      <c r="A65401" s="212" t="s">
        <v>347</v>
      </c>
      <c r="B65401" s="201"/>
      <c r="C65401" s="213">
        <v>12118</v>
      </c>
      <c r="D65401" s="214" t="s">
        <v>348</v>
      </c>
      <c r="E65401" s="203" t="str">
        <f>CONCATENATE(Dependencias[[#This Row],[CÓDIGO]]," - ",Dependencias[[#This Row],[DEPENDENCIA]])</f>
        <v>12118 - GERENCIA LOCAL RAFAEL URIBE URIBE</v>
      </c>
    </row>
    <row r="65402" spans="1:5" ht="39.6" x14ac:dyDescent="0.3">
      <c r="A65402" s="212" t="s">
        <v>349</v>
      </c>
      <c r="B65402" s="201"/>
      <c r="C65402" s="215">
        <v>12119</v>
      </c>
      <c r="D65402" s="216" t="s">
        <v>350</v>
      </c>
      <c r="E65402" s="203" t="str">
        <f>CONCATENATE(Dependencias[[#This Row],[CÓDIGO]]," - ",Dependencias[[#This Row],[DEPENDENCIA]])</f>
        <v xml:space="preserve">12119 - GERENCIA LOCAL CIUDAD BOLIVAR </v>
      </c>
    </row>
    <row r="65403" spans="1:5" ht="26.4" x14ac:dyDescent="0.3">
      <c r="A65403" s="212" t="s">
        <v>351</v>
      </c>
      <c r="B65403" s="201"/>
      <c r="C65403" s="213">
        <v>12120</v>
      </c>
      <c r="D65403" s="214" t="s">
        <v>352</v>
      </c>
      <c r="E65403" s="203" t="str">
        <f>CONCATENATE(Dependencias[[#This Row],[CÓDIGO]]," - ",Dependencias[[#This Row],[DEPENDENCIA]])</f>
        <v xml:space="preserve">12120 - GERENCIA LOCAL SUMAPAZ </v>
      </c>
    </row>
    <row r="65404" spans="1:5" ht="26.4" x14ac:dyDescent="0.3">
      <c r="A65404" s="212" t="s">
        <v>353</v>
      </c>
      <c r="B65404" s="201"/>
      <c r="C65404" s="215">
        <v>130000</v>
      </c>
      <c r="D65404" s="216" t="s">
        <v>354</v>
      </c>
      <c r="E65404" s="203" t="str">
        <f>CONCATENATE(Dependencias[[#This Row],[CÓDIGO]]," - ",Dependencias[[#This Row],[DEPENDENCIA]])</f>
        <v xml:space="preserve">130000 - DIRECCIÓN SECTOR HÁBITAT Y AMBIENTE </v>
      </c>
    </row>
    <row r="65405" spans="1:5" ht="26.4" x14ac:dyDescent="0.3">
      <c r="A65405" s="212" t="s">
        <v>355</v>
      </c>
      <c r="B65405" s="201"/>
      <c r="C65405" s="213">
        <v>140000</v>
      </c>
      <c r="D65405" s="214" t="s">
        <v>356</v>
      </c>
      <c r="E65405" s="203" t="str">
        <f>CONCATENATE(Dependencias[[#This Row],[CÓDIGO]]," - ",Dependencias[[#This Row],[DEPENDENCIA]])</f>
        <v xml:space="preserve">140000 - DIRECCIÓN SECTOR EDUCACIÓN </v>
      </c>
    </row>
    <row r="65406" spans="1:5" ht="26.4" x14ac:dyDescent="0.3">
      <c r="A65406" s="212" t="s">
        <v>357</v>
      </c>
      <c r="B65406" s="201"/>
      <c r="C65406" s="215">
        <v>150000</v>
      </c>
      <c r="D65406" s="216" t="s">
        <v>358</v>
      </c>
      <c r="E65406" s="203" t="str">
        <f>CONCATENATE(Dependencias[[#This Row],[CÓDIGO]]," - ",Dependencias[[#This Row],[DEPENDENCIA]])</f>
        <v xml:space="preserve">150000 - DIRECCIÓN SECTOR HACIENDA </v>
      </c>
    </row>
    <row r="65407" spans="1:5" ht="26.4" x14ac:dyDescent="0.3">
      <c r="A65407" s="212" t="s">
        <v>359</v>
      </c>
      <c r="B65407" s="201"/>
      <c r="C65407" s="213">
        <v>190000</v>
      </c>
      <c r="D65407" s="214" t="s">
        <v>360</v>
      </c>
      <c r="E65407" s="203" t="str">
        <f>CONCATENATE(Dependencias[[#This Row],[CÓDIGO]]," - ",Dependencias[[#This Row],[DEPENDENCIA]])</f>
        <v xml:space="preserve">190000 - DIRECCIÓN SECTOR DESARROLLO ECONÓMICO, INDUSTRIA Y TURISMO </v>
      </c>
    </row>
    <row r="65408" spans="1:5" ht="26.4" x14ac:dyDescent="0.3">
      <c r="A65408" s="212" t="s">
        <v>361</v>
      </c>
      <c r="B65408" s="201"/>
      <c r="C65408" s="215">
        <v>200000</v>
      </c>
      <c r="D65408" s="216" t="s">
        <v>362</v>
      </c>
      <c r="E65408" s="203" t="str">
        <f>CONCATENATE(Dependencias[[#This Row],[CÓDIGO]]," - ",Dependencias[[#This Row],[DEPENDENCIA]])</f>
        <v xml:space="preserve">200000 - DIRECCIÓN SECTOR INTEGRACIÓN SOCIAL </v>
      </c>
    </row>
    <row r="65409" spans="1:5" ht="26.4" x14ac:dyDescent="0.3">
      <c r="A65409" s="212" t="s">
        <v>363</v>
      </c>
      <c r="B65409" s="201"/>
      <c r="C65409" s="213">
        <v>210000</v>
      </c>
      <c r="D65409" s="214" t="s">
        <v>364</v>
      </c>
      <c r="E65409" s="203" t="str">
        <f>CONCATENATE(Dependencias[[#This Row],[CÓDIGO]]," - ",Dependencias[[#This Row],[DEPENDENCIA]])</f>
        <v xml:space="preserve">210000 - DIRECCIÓN SECTOR SERVICIOS PÚBLICOS </v>
      </c>
    </row>
    <row r="65410" spans="1:5" ht="26.4" x14ac:dyDescent="0.3">
      <c r="A65410" s="212" t="s">
        <v>365</v>
      </c>
      <c r="B65410" s="201"/>
      <c r="C65410" s="215">
        <v>220000</v>
      </c>
      <c r="D65410" s="216" t="s">
        <v>366</v>
      </c>
      <c r="E65410" s="203" t="str">
        <f>CONCATENATE(Dependencias[[#This Row],[CÓDIGO]]," - ",Dependencias[[#This Row],[DEPENDENCIA]])</f>
        <v xml:space="preserve">220000 - DIRECCIÓN SECTOR CULTURA, RECREACIÓN Y DEPORTE </v>
      </c>
    </row>
    <row r="65411" spans="1:5" ht="26.4" x14ac:dyDescent="0.3">
      <c r="A65411" s="212" t="s">
        <v>367</v>
      </c>
      <c r="B65411" s="201"/>
      <c r="C65411" s="213">
        <v>230000</v>
      </c>
      <c r="D65411" s="214" t="s">
        <v>368</v>
      </c>
      <c r="E65411" s="203" t="str">
        <f>CONCATENATE(Dependencias[[#This Row],[CÓDIGO]]," - ",Dependencias[[#This Row],[DEPENDENCIA]])</f>
        <v>230000 - DIRECCIÓN SECTOR SEGURIDAD, CONVIVENCIA Y JUSTICIA</v>
      </c>
    </row>
    <row r="65412" spans="1:5" ht="26.4" x14ac:dyDescent="0.3">
      <c r="A65412" s="212" t="s">
        <v>369</v>
      </c>
      <c r="B65412" s="201"/>
      <c r="C65412" s="213">
        <v>80000</v>
      </c>
      <c r="D65412" s="214" t="s">
        <v>370</v>
      </c>
      <c r="E65412" s="203" t="str">
        <f>CONCATENATE(Dependencias[[#This Row],[CÓDIGO]]," - ",Dependencias[[#This Row],[DEPENDENCIA]])</f>
        <v xml:space="preserve">80000 - DIRECCIÓN SECTOR MOVILIDAD </v>
      </c>
    </row>
    <row r="65413" spans="1:5" ht="26.4" x14ac:dyDescent="0.3">
      <c r="A65413" s="212" t="s">
        <v>371</v>
      </c>
      <c r="B65413" s="201"/>
      <c r="C65413" s="218">
        <v>90000</v>
      </c>
      <c r="D65413" s="219" t="s">
        <v>372</v>
      </c>
      <c r="E65413" s="203" t="str">
        <f>CONCATENATE(Dependencias[[#This Row],[CÓDIGO]]," - ",Dependencias[[#This Row],[DEPENDENCIA]])</f>
        <v xml:space="preserve">90000 - DIRECCIÓN SECTOR GESTIÓN JURIDICA </v>
      </c>
    </row>
    <row r="65414" spans="1:5" ht="26.4" x14ac:dyDescent="0.3">
      <c r="A65414" s="212" t="s">
        <v>373</v>
      </c>
      <c r="B65414" s="201"/>
      <c r="C65414" s="215"/>
      <c r="D65414" s="216"/>
      <c r="E65414" s="203"/>
    </row>
    <row r="65415" spans="1:5" x14ac:dyDescent="0.3">
      <c r="A65415" s="212" t="s">
        <v>374</v>
      </c>
      <c r="B65415" s="201"/>
      <c r="C65415" s="204"/>
      <c r="D65415" s="201"/>
      <c r="E65415" s="202"/>
    </row>
    <row r="65416" spans="1:5" ht="26.4" x14ac:dyDescent="0.3">
      <c r="A65416" s="212" t="s">
        <v>375</v>
      </c>
      <c r="B65416" s="201"/>
      <c r="C65416" s="204"/>
      <c r="D65416" s="201"/>
      <c r="E65416" s="202"/>
    </row>
    <row r="65417" spans="1:5" ht="26.4" x14ac:dyDescent="0.3">
      <c r="A65417" s="212" t="s">
        <v>376</v>
      </c>
      <c r="B65417" s="201"/>
      <c r="C65417" s="204"/>
      <c r="D65417" s="201"/>
      <c r="E65417" s="202"/>
    </row>
    <row r="65418" spans="1:5" x14ac:dyDescent="0.3">
      <c r="A65418" s="212" t="s">
        <v>377</v>
      </c>
      <c r="B65418" s="201"/>
      <c r="C65418" s="204"/>
      <c r="D65418" s="201"/>
      <c r="E65418" s="202"/>
    </row>
    <row r="65419" spans="1:5" ht="39.6" x14ac:dyDescent="0.3">
      <c r="A65419" s="212" t="s">
        <v>378</v>
      </c>
      <c r="B65419" s="201"/>
      <c r="C65419" s="204"/>
      <c r="D65419" s="201"/>
      <c r="E65419" s="202"/>
    </row>
    <row r="65420" spans="1:5" x14ac:dyDescent="0.3">
      <c r="A65420" s="212" t="s">
        <v>379</v>
      </c>
      <c r="B65420" s="201"/>
      <c r="C65420" s="204"/>
      <c r="D65420" s="201"/>
      <c r="E65420" s="202"/>
    </row>
    <row r="65421" spans="1:5" x14ac:dyDescent="0.3">
      <c r="A65421" s="212" t="s">
        <v>380</v>
      </c>
      <c r="B65421" s="201"/>
      <c r="C65421" s="204"/>
      <c r="D65421" s="201"/>
      <c r="E65421" s="202"/>
    </row>
    <row r="65422" spans="1:5" x14ac:dyDescent="0.3">
      <c r="A65422" s="212" t="s">
        <v>381</v>
      </c>
      <c r="B65422" s="201"/>
      <c r="C65422" s="204"/>
      <c r="D65422" s="201"/>
      <c r="E65422" s="202"/>
    </row>
    <row r="65423" spans="1:5" x14ac:dyDescent="0.3">
      <c r="A65423" s="212" t="s">
        <v>382</v>
      </c>
      <c r="B65423" s="201"/>
      <c r="C65423" s="204"/>
      <c r="D65423" s="201"/>
      <c r="E65423" s="202"/>
    </row>
    <row r="65424" spans="1:5" ht="26.4" x14ac:dyDescent="0.3">
      <c r="A65424" s="212" t="s">
        <v>383</v>
      </c>
      <c r="B65424" s="201"/>
      <c r="C65424" s="204"/>
      <c r="D65424" s="201"/>
      <c r="E65424" s="202"/>
    </row>
    <row r="65425" spans="1:5" ht="26.4" x14ac:dyDescent="0.3">
      <c r="A65425" s="212" t="s">
        <v>384</v>
      </c>
      <c r="B65425" s="201"/>
      <c r="C65425" s="204"/>
      <c r="D65425" s="201"/>
      <c r="E65425" s="202"/>
    </row>
    <row r="65426" spans="1:5" ht="26.4" x14ac:dyDescent="0.3">
      <c r="A65426" s="212" t="s">
        <v>385</v>
      </c>
      <c r="B65426" s="201"/>
      <c r="C65426" s="204"/>
      <c r="D65426" s="201"/>
      <c r="E65426" s="202"/>
    </row>
    <row r="65427" spans="1:5" ht="26.4" x14ac:dyDescent="0.3">
      <c r="A65427" s="212" t="s">
        <v>386</v>
      </c>
      <c r="B65427" s="201"/>
      <c r="C65427" s="204"/>
      <c r="D65427" s="201"/>
      <c r="E65427" s="202"/>
    </row>
    <row r="65428" spans="1:5" ht="26.4" x14ac:dyDescent="0.3">
      <c r="A65428" s="212" t="s">
        <v>387</v>
      </c>
      <c r="B65428" s="201"/>
      <c r="C65428" s="204"/>
      <c r="D65428" s="201"/>
      <c r="E65428" s="202"/>
    </row>
    <row r="65429" spans="1:5" ht="26.4" x14ac:dyDescent="0.3">
      <c r="A65429" s="212" t="s">
        <v>388</v>
      </c>
      <c r="B65429" s="201"/>
      <c r="C65429" s="204"/>
      <c r="D65429" s="201"/>
      <c r="E65429" s="202"/>
    </row>
    <row r="65430" spans="1:5" ht="39.6" x14ac:dyDescent="0.3">
      <c r="A65430" s="212" t="s">
        <v>389</v>
      </c>
      <c r="B65430" s="201"/>
      <c r="C65430" s="204"/>
      <c r="D65430" s="201"/>
      <c r="E65430" s="202"/>
    </row>
    <row r="65431" spans="1:5" ht="39.6" x14ac:dyDescent="0.3">
      <c r="A65431" s="212" t="s">
        <v>390</v>
      </c>
      <c r="B65431" s="201"/>
      <c r="C65431" s="204"/>
      <c r="D65431" s="201"/>
      <c r="E65431" s="202"/>
    </row>
    <row r="65432" spans="1:5" x14ac:dyDescent="0.3">
      <c r="A65432" s="212" t="s">
        <v>391</v>
      </c>
      <c r="B65432" s="201"/>
      <c r="C65432" s="204"/>
      <c r="D65432" s="201"/>
      <c r="E65432" s="202"/>
    </row>
    <row r="65433" spans="1:5" ht="26.4" x14ac:dyDescent="0.3">
      <c r="A65433" s="212" t="s">
        <v>392</v>
      </c>
      <c r="B65433" s="201"/>
      <c r="C65433" s="204"/>
      <c r="D65433" s="201"/>
      <c r="E65433" s="202"/>
    </row>
    <row r="65434" spans="1:5" ht="26.4" x14ac:dyDescent="0.3">
      <c r="A65434" s="212" t="s">
        <v>393</v>
      </c>
      <c r="B65434" s="201"/>
      <c r="C65434" s="204"/>
      <c r="D65434" s="201"/>
      <c r="E65434" s="202"/>
    </row>
    <row r="65435" spans="1:5" ht="39.6" x14ac:dyDescent="0.3">
      <c r="A65435" s="212" t="s">
        <v>394</v>
      </c>
      <c r="B65435" s="201"/>
      <c r="C65435" s="204"/>
      <c r="D65435" s="201"/>
      <c r="E65435" s="202"/>
    </row>
    <row r="65436" spans="1:5" ht="26.4" x14ac:dyDescent="0.3">
      <c r="A65436" s="212" t="s">
        <v>395</v>
      </c>
      <c r="B65436" s="201"/>
      <c r="C65436" s="204"/>
      <c r="D65436" s="201"/>
      <c r="E65436" s="202"/>
    </row>
    <row r="65437" spans="1:5" ht="26.4" x14ac:dyDescent="0.3">
      <c r="A65437" s="212" t="s">
        <v>396</v>
      </c>
      <c r="B65437" s="201"/>
      <c r="C65437" s="204"/>
      <c r="D65437" s="201"/>
      <c r="E65437" s="202"/>
    </row>
    <row r="65438" spans="1:5" ht="26.4" x14ac:dyDescent="0.3">
      <c r="A65438" s="212" t="s">
        <v>397</v>
      </c>
      <c r="B65438" s="201"/>
      <c r="C65438" s="204"/>
      <c r="D65438" s="201"/>
      <c r="E65438" s="202"/>
    </row>
    <row r="65439" spans="1:5" x14ac:dyDescent="0.3">
      <c r="A65439" s="212" t="s">
        <v>398</v>
      </c>
      <c r="B65439" s="201"/>
      <c r="C65439" s="204"/>
      <c r="D65439" s="201"/>
      <c r="E65439" s="202"/>
    </row>
    <row r="65440" spans="1:5" x14ac:dyDescent="0.3">
      <c r="A65440" s="212" t="s">
        <v>399</v>
      </c>
      <c r="B65440" s="201"/>
      <c r="C65440" s="204"/>
      <c r="D65440" s="201"/>
      <c r="E65440" s="202"/>
    </row>
    <row r="65441" spans="1:5" ht="26.4" x14ac:dyDescent="0.3">
      <c r="A65441" s="212" t="s">
        <v>400</v>
      </c>
      <c r="B65441" s="201"/>
      <c r="C65441" s="204"/>
      <c r="D65441" s="201"/>
      <c r="E65441" s="202"/>
    </row>
    <row r="65442" spans="1:5" ht="39.6" x14ac:dyDescent="0.3">
      <c r="A65442" s="212" t="s">
        <v>401</v>
      </c>
      <c r="B65442" s="201"/>
      <c r="C65442" s="204"/>
      <c r="D65442" s="201"/>
      <c r="E65442" s="202"/>
    </row>
    <row r="65443" spans="1:5" x14ac:dyDescent="0.3">
      <c r="A65443" s="212" t="s">
        <v>402</v>
      </c>
      <c r="B65443" s="201"/>
      <c r="C65443" s="204"/>
      <c r="D65443" s="201"/>
      <c r="E65443" s="202"/>
    </row>
    <row r="65444" spans="1:5" ht="26.4" x14ac:dyDescent="0.3">
      <c r="A65444" s="212" t="s">
        <v>403</v>
      </c>
      <c r="B65444" s="201"/>
      <c r="C65444" s="204"/>
      <c r="D65444" s="201"/>
      <c r="E65444" s="202"/>
    </row>
    <row r="65445" spans="1:5" x14ac:dyDescent="0.3">
      <c r="A65445" s="212" t="s">
        <v>404</v>
      </c>
      <c r="B65445" s="201"/>
      <c r="C65445" s="204"/>
      <c r="D65445" s="201"/>
      <c r="E65445" s="202"/>
    </row>
    <row r="65446" spans="1:5" ht="26.4" x14ac:dyDescent="0.3">
      <c r="A65446" s="212" t="s">
        <v>120</v>
      </c>
      <c r="B65446" s="201"/>
      <c r="C65446" s="204"/>
      <c r="D65446" s="201"/>
      <c r="E65446" s="202"/>
    </row>
    <row r="65447" spans="1:5" ht="26.4" x14ac:dyDescent="0.3">
      <c r="A65447" s="212" t="s">
        <v>405</v>
      </c>
      <c r="B65447" s="201"/>
      <c r="C65447" s="204"/>
      <c r="D65447" s="201"/>
      <c r="E65447" s="202"/>
    </row>
    <row r="65448" spans="1:5" x14ac:dyDescent="0.3">
      <c r="A65448" s="212" t="s">
        <v>406</v>
      </c>
      <c r="B65448" s="201"/>
      <c r="C65448" s="204"/>
      <c r="D65448" s="201"/>
      <c r="E65448" s="202"/>
    </row>
    <row r="65449" spans="1:5" ht="39.6" x14ac:dyDescent="0.3">
      <c r="A65449" s="212" t="s">
        <v>407</v>
      </c>
      <c r="B65449" s="201"/>
      <c r="C65449" s="204"/>
      <c r="D65449" s="201"/>
      <c r="E65449" s="202"/>
    </row>
    <row r="65450" spans="1:5" ht="26.4" x14ac:dyDescent="0.3">
      <c r="A65450" s="212" t="s">
        <v>408</v>
      </c>
      <c r="B65450" s="201"/>
      <c r="C65450" s="204"/>
      <c r="D65450" s="201"/>
      <c r="E65450" s="202"/>
    </row>
    <row r="65451" spans="1:5" ht="26.4" x14ac:dyDescent="0.3">
      <c r="A65451" s="212" t="s">
        <v>409</v>
      </c>
      <c r="B65451" s="201"/>
      <c r="C65451" s="204"/>
      <c r="D65451" s="201"/>
      <c r="E65451" s="202"/>
    </row>
    <row r="65452" spans="1:5" ht="26.4" x14ac:dyDescent="0.3">
      <c r="A65452" s="212" t="s">
        <v>410</v>
      </c>
      <c r="B65452" s="201"/>
      <c r="C65452" s="204"/>
      <c r="D65452" s="201"/>
      <c r="E65452" s="202"/>
    </row>
    <row r="65453" spans="1:5" ht="26.4" x14ac:dyDescent="0.3">
      <c r="A65453" s="212" t="s">
        <v>411</v>
      </c>
      <c r="B65453" s="201"/>
      <c r="C65453" s="204"/>
      <c r="D65453" s="201"/>
      <c r="E65453" s="202"/>
    </row>
    <row r="65454" spans="1:5" ht="26.4" x14ac:dyDescent="0.3">
      <c r="A65454" s="212" t="s">
        <v>412</v>
      </c>
      <c r="B65454" s="201"/>
      <c r="C65454" s="204"/>
      <c r="D65454" s="201"/>
      <c r="E65454" s="202"/>
    </row>
    <row r="65455" spans="1:5" ht="39.6" x14ac:dyDescent="0.3">
      <c r="A65455" s="212" t="s">
        <v>413</v>
      </c>
      <c r="B65455" s="201"/>
      <c r="C65455" s="204"/>
      <c r="D65455" s="201"/>
      <c r="E65455" s="202"/>
    </row>
    <row r="65456" spans="1:5" ht="39.6" x14ac:dyDescent="0.3">
      <c r="A65456" s="212" t="s">
        <v>414</v>
      </c>
      <c r="B65456" s="201"/>
      <c r="C65456" s="204"/>
      <c r="D65456" s="201"/>
      <c r="E65456" s="202"/>
    </row>
    <row r="65457" spans="1:5" ht="26.4" x14ac:dyDescent="0.3">
      <c r="A65457" s="212" t="s">
        <v>415</v>
      </c>
      <c r="B65457" s="201"/>
      <c r="C65457" s="204"/>
      <c r="D65457" s="201"/>
      <c r="E65457" s="202"/>
    </row>
    <row r="65458" spans="1:5" x14ac:dyDescent="0.3">
      <c r="A65458" s="212" t="s">
        <v>416</v>
      </c>
      <c r="B65458" s="201"/>
      <c r="C65458" s="204"/>
      <c r="D65458" s="201"/>
      <c r="E65458" s="202"/>
    </row>
    <row r="65459" spans="1:5" x14ac:dyDescent="0.3">
      <c r="A65459" s="212" t="s">
        <v>417</v>
      </c>
      <c r="B65459" s="201"/>
      <c r="C65459" s="204"/>
      <c r="D65459" s="201"/>
      <c r="E65459" s="202"/>
    </row>
    <row r="65460" spans="1:5" ht="39.6" x14ac:dyDescent="0.3">
      <c r="A65460" s="212" t="s">
        <v>418</v>
      </c>
      <c r="B65460" s="201"/>
      <c r="C65460" s="204"/>
      <c r="D65460" s="201"/>
      <c r="E65460" s="202"/>
    </row>
    <row r="65461" spans="1:5" ht="39.6" x14ac:dyDescent="0.3">
      <c r="A65461" s="212" t="s">
        <v>419</v>
      </c>
      <c r="B65461" s="201"/>
      <c r="C65461" s="204"/>
      <c r="D65461" s="201"/>
      <c r="E65461" s="202"/>
    </row>
    <row r="65462" spans="1:5" ht="26.4" x14ac:dyDescent="0.3">
      <c r="A65462" s="212" t="s">
        <v>420</v>
      </c>
      <c r="B65462" s="201"/>
      <c r="C65462" s="204"/>
      <c r="D65462" s="201"/>
      <c r="E65462" s="202"/>
    </row>
    <row r="65463" spans="1:5" ht="26.4" x14ac:dyDescent="0.3">
      <c r="A65463" s="212" t="s">
        <v>421</v>
      </c>
      <c r="B65463" s="201"/>
      <c r="C65463" s="204"/>
      <c r="D65463" s="201"/>
      <c r="E65463" s="202"/>
    </row>
    <row r="65464" spans="1:5" x14ac:dyDescent="0.3">
      <c r="A65464" s="212" t="s">
        <v>422</v>
      </c>
      <c r="B65464" s="201"/>
      <c r="C65464" s="204"/>
      <c r="D65464" s="201"/>
      <c r="E65464" s="202"/>
    </row>
    <row r="65465" spans="1:5" ht="39.6" x14ac:dyDescent="0.3">
      <c r="A65465" s="212" t="s">
        <v>423</v>
      </c>
      <c r="B65465" s="201"/>
      <c r="C65465" s="204"/>
      <c r="D65465" s="201"/>
      <c r="E65465" s="202"/>
    </row>
    <row r="65466" spans="1:5" ht="52.8" x14ac:dyDescent="0.3">
      <c r="A65466" s="212" t="s">
        <v>424</v>
      </c>
      <c r="B65466" s="201"/>
      <c r="C65466" s="204"/>
      <c r="D65466" s="201"/>
      <c r="E65466" s="202"/>
    </row>
    <row r="65467" spans="1:5" ht="26.4" x14ac:dyDescent="0.3">
      <c r="A65467" s="212" t="s">
        <v>425</v>
      </c>
      <c r="B65467" s="201"/>
      <c r="C65467" s="204"/>
      <c r="D65467" s="201"/>
      <c r="E65467" s="202"/>
    </row>
    <row r="65468" spans="1:5" ht="26.4" x14ac:dyDescent="0.3">
      <c r="A65468" s="212" t="s">
        <v>426</v>
      </c>
      <c r="B65468" s="201"/>
      <c r="C65468" s="204"/>
      <c r="D65468" s="201"/>
      <c r="E65468" s="202"/>
    </row>
    <row r="65469" spans="1:5" ht="26.4" x14ac:dyDescent="0.3">
      <c r="A65469" s="212" t="s">
        <v>427</v>
      </c>
      <c r="B65469" s="201"/>
      <c r="C65469" s="204"/>
      <c r="D65469" s="201"/>
      <c r="E65469" s="202"/>
    </row>
    <row r="65470" spans="1:5" ht="26.4" x14ac:dyDescent="0.3">
      <c r="A65470" s="212" t="s">
        <v>428</v>
      </c>
      <c r="B65470" s="201"/>
      <c r="C65470" s="204"/>
      <c r="D65470" s="201"/>
      <c r="E65470" s="202"/>
    </row>
    <row r="65471" spans="1:5" x14ac:dyDescent="0.3">
      <c r="A65471" s="212" t="s">
        <v>429</v>
      </c>
      <c r="B65471" s="201"/>
      <c r="C65471" s="204"/>
      <c r="D65471" s="201"/>
      <c r="E65471" s="202"/>
    </row>
    <row r="65472" spans="1:5" ht="39.6" x14ac:dyDescent="0.3">
      <c r="A65472" s="212" t="s">
        <v>430</v>
      </c>
      <c r="B65472" s="201"/>
      <c r="C65472" s="204"/>
      <c r="D65472" s="201"/>
      <c r="E65472" s="202"/>
    </row>
    <row r="65473" spans="1:5" x14ac:dyDescent="0.3">
      <c r="A65473" s="1224" t="s">
        <v>431</v>
      </c>
      <c r="B65473" s="201"/>
      <c r="C65473" s="204"/>
      <c r="D65473" s="201"/>
      <c r="E65473" s="202"/>
    </row>
    <row r="65474" spans="1:5" x14ac:dyDescent="0.3">
      <c r="A65474" s="212" t="s">
        <v>432</v>
      </c>
      <c r="B65474" s="201"/>
      <c r="C65474" s="204"/>
      <c r="D65474" s="201"/>
      <c r="E65474" s="202"/>
    </row>
    <row r="65475" spans="1:5" ht="26.4" x14ac:dyDescent="0.3">
      <c r="A65475" s="212" t="s">
        <v>433</v>
      </c>
      <c r="B65475" s="201"/>
      <c r="C65475" s="204"/>
      <c r="D65475" s="201"/>
      <c r="E65475" s="202"/>
    </row>
    <row r="65476" spans="1:5" ht="33" customHeight="1" x14ac:dyDescent="0.3">
      <c r="A65476" s="1224" t="s">
        <v>434</v>
      </c>
      <c r="B65476" s="201"/>
      <c r="C65476" s="204"/>
      <c r="D65476" s="201"/>
      <c r="E65476" s="202"/>
    </row>
    <row r="65477" spans="1:5" x14ac:dyDescent="0.3">
      <c r="A65477" s="207"/>
      <c r="B65477" s="201"/>
      <c r="C65477" s="204"/>
      <c r="D65477" s="201"/>
      <c r="E65477" s="202"/>
    </row>
    <row r="65478" spans="1:5" x14ac:dyDescent="0.3">
      <c r="A65478" s="207"/>
      <c r="B65478" s="201"/>
      <c r="C65478" s="204"/>
      <c r="D65478" s="201"/>
      <c r="E65478" s="202"/>
    </row>
    <row r="65479" spans="1:5" x14ac:dyDescent="0.3">
      <c r="A65479" s="207"/>
      <c r="B65479" s="201"/>
      <c r="C65479" s="204"/>
      <c r="D65479" s="201"/>
      <c r="E65479" s="202"/>
    </row>
    <row r="65480" spans="1:5" x14ac:dyDescent="0.3">
      <c r="A65480" s="207"/>
      <c r="B65480" s="201"/>
      <c r="C65480" s="204"/>
      <c r="D65480" s="201"/>
      <c r="E65480" s="202"/>
    </row>
    <row r="65481" spans="1:5" x14ac:dyDescent="0.3">
      <c r="A65481" s="207"/>
      <c r="B65481" s="201"/>
      <c r="C65481" s="204"/>
      <c r="D65481" s="201"/>
      <c r="E65481" s="202"/>
    </row>
    <row r="65482" spans="1:5" x14ac:dyDescent="0.3">
      <c r="A65482" s="207"/>
      <c r="B65482" s="201"/>
      <c r="C65482" s="204"/>
      <c r="D65482" s="201"/>
      <c r="E65482" s="202"/>
    </row>
    <row r="65483" spans="1:5" x14ac:dyDescent="0.3">
      <c r="A65483" s="220"/>
      <c r="B65483" s="201"/>
      <c r="C65483" s="204"/>
      <c r="D65483" s="201"/>
      <c r="E65483" s="202"/>
    </row>
    <row r="65484" spans="1:5" x14ac:dyDescent="0.3">
      <c r="A65484" s="207"/>
      <c r="B65484" s="201"/>
      <c r="C65484" s="204"/>
      <c r="D65484" s="201"/>
      <c r="E65484" s="202"/>
    </row>
    <row r="65485" spans="1:5" x14ac:dyDescent="0.3">
      <c r="A65485" s="207"/>
      <c r="B65485" s="201"/>
      <c r="C65485" s="204"/>
      <c r="D65485" s="201"/>
      <c r="E65485" s="202"/>
    </row>
    <row r="65486" spans="1:5" x14ac:dyDescent="0.3">
      <c r="A65486" s="207"/>
      <c r="B65486" s="201"/>
      <c r="C65486" s="204"/>
      <c r="D65486" s="201"/>
      <c r="E65486" s="202"/>
    </row>
    <row r="65487" spans="1:5" x14ac:dyDescent="0.3">
      <c r="A65487" s="207"/>
      <c r="B65487" s="201"/>
      <c r="C65487" s="204"/>
      <c r="D65487" s="201"/>
      <c r="E65487" s="202"/>
    </row>
    <row r="65488" spans="1:5" x14ac:dyDescent="0.3">
      <c r="A65488" s="207"/>
      <c r="B65488" s="201"/>
      <c r="C65488" s="204"/>
      <c r="D65488" s="201"/>
      <c r="E65488" s="202"/>
    </row>
    <row r="65489" spans="1:5" x14ac:dyDescent="0.3">
      <c r="A65489" s="207"/>
      <c r="B65489" s="201"/>
      <c r="C65489" s="204"/>
      <c r="D65489" s="201"/>
      <c r="E65489" s="202"/>
    </row>
    <row r="65490" spans="1:5" x14ac:dyDescent="0.3">
      <c r="A65490" s="207"/>
      <c r="B65490" s="201"/>
      <c r="C65490" s="204"/>
      <c r="D65490" s="201"/>
      <c r="E65490" s="202"/>
    </row>
    <row r="65491" spans="1:5" x14ac:dyDescent="0.3">
      <c r="A65491" s="207"/>
      <c r="B65491" s="201"/>
      <c r="C65491" s="204"/>
      <c r="D65491" s="201"/>
      <c r="E65491" s="202"/>
    </row>
    <row r="65492" spans="1:5" x14ac:dyDescent="0.3">
      <c r="A65492" s="207"/>
      <c r="B65492" s="201"/>
      <c r="C65492" s="204"/>
      <c r="D65492" s="201"/>
      <c r="E65492" s="202"/>
    </row>
    <row r="65493" spans="1:5" x14ac:dyDescent="0.3">
      <c r="A65493" s="207"/>
      <c r="B65493" s="201"/>
      <c r="C65493" s="204"/>
      <c r="D65493" s="201"/>
      <c r="E65493" s="202"/>
    </row>
    <row r="65494" spans="1:5" x14ac:dyDescent="0.3">
      <c r="A65494" s="207"/>
      <c r="B65494" s="201"/>
      <c r="C65494" s="204"/>
      <c r="D65494" s="201"/>
      <c r="E65494" s="202"/>
    </row>
    <row r="65495" spans="1:5" x14ac:dyDescent="0.3">
      <c r="A65495" s="207"/>
      <c r="B65495" s="201"/>
      <c r="C65495" s="204"/>
      <c r="D65495" s="201"/>
      <c r="E65495" s="202"/>
    </row>
    <row r="65496" spans="1:5" x14ac:dyDescent="0.3">
      <c r="A65496" s="207"/>
      <c r="B65496" s="201"/>
      <c r="C65496" s="204"/>
      <c r="D65496" s="201"/>
      <c r="E65496" s="202"/>
    </row>
    <row r="65497" spans="1:5" x14ac:dyDescent="0.3">
      <c r="A65497" s="207"/>
      <c r="B65497" s="201"/>
      <c r="C65497" s="204"/>
      <c r="D65497" s="201"/>
      <c r="E65497" s="202"/>
    </row>
    <row r="65498" spans="1:5" x14ac:dyDescent="0.3">
      <c r="A65498" s="207"/>
      <c r="B65498" s="201"/>
      <c r="C65498" s="204"/>
      <c r="D65498" s="201"/>
      <c r="E65498" s="202"/>
    </row>
    <row r="65499" spans="1:5" x14ac:dyDescent="0.3">
      <c r="A65499" s="207"/>
      <c r="B65499" s="201"/>
      <c r="C65499" s="204"/>
      <c r="D65499" s="201"/>
      <c r="E65499" s="202"/>
    </row>
    <row r="65500" spans="1:5" x14ac:dyDescent="0.3">
      <c r="A65500" s="207"/>
      <c r="B65500" s="201"/>
      <c r="C65500" s="204"/>
      <c r="D65500" s="201"/>
      <c r="E65500" s="202"/>
    </row>
    <row r="65501" spans="1:5" x14ac:dyDescent="0.3">
      <c r="A65501" s="207"/>
      <c r="B65501" s="201"/>
      <c r="C65501" s="204"/>
      <c r="D65501" s="201"/>
      <c r="E65501" s="202"/>
    </row>
    <row r="65502" spans="1:5" x14ac:dyDescent="0.3">
      <c r="A65502" s="207"/>
      <c r="B65502" s="201"/>
      <c r="C65502" s="204"/>
      <c r="D65502" s="201"/>
      <c r="E65502" s="202"/>
    </row>
    <row r="65503" spans="1:5" x14ac:dyDescent="0.3">
      <c r="A65503" s="207"/>
      <c r="B65503" s="201"/>
      <c r="C65503" s="204"/>
      <c r="D65503" s="201"/>
      <c r="E65503" s="202"/>
    </row>
    <row r="65504" spans="1:5" x14ac:dyDescent="0.3">
      <c r="A65504" s="207"/>
      <c r="B65504" s="201"/>
      <c r="C65504" s="204"/>
      <c r="D65504" s="201"/>
      <c r="E65504" s="202"/>
    </row>
    <row r="65505" spans="1:57" x14ac:dyDescent="0.3">
      <c r="A65505" s="207"/>
      <c r="B65505" s="201"/>
      <c r="C65505" s="204"/>
      <c r="D65505" s="201"/>
      <c r="E65505" s="202"/>
    </row>
    <row r="65506" spans="1:57" x14ac:dyDescent="0.3">
      <c r="A65506" s="207"/>
      <c r="B65506" s="201"/>
      <c r="C65506" s="204"/>
      <c r="D65506" s="201"/>
      <c r="E65506" s="202"/>
    </row>
    <row r="65507" spans="1:57" x14ac:dyDescent="0.3">
      <c r="A65507" s="207"/>
      <c r="B65507" s="201"/>
      <c r="C65507" s="204"/>
      <c r="D65507" s="201"/>
      <c r="E65507" s="202"/>
    </row>
    <row r="65508" spans="1:57" x14ac:dyDescent="0.3">
      <c r="A65508" s="207"/>
      <c r="B65508" s="201"/>
      <c r="C65508" s="204"/>
      <c r="D65508" s="201"/>
      <c r="E65508" s="202"/>
    </row>
    <row r="65509" spans="1:57" x14ac:dyDescent="0.3">
      <c r="A65509" s="207"/>
      <c r="B65509" s="201"/>
      <c r="C65509" s="204"/>
      <c r="D65509" s="201"/>
      <c r="E65509" s="202"/>
    </row>
    <row r="65510" spans="1:57" x14ac:dyDescent="0.3">
      <c r="A65510" s="207"/>
      <c r="B65510" s="201"/>
      <c r="C65510" s="204"/>
      <c r="D65510" s="201"/>
      <c r="E65510" s="202"/>
    </row>
    <row r="65511" spans="1:57" x14ac:dyDescent="0.3">
      <c r="A65511" s="207"/>
      <c r="B65511" s="201"/>
      <c r="C65511" s="204"/>
      <c r="D65511" s="201"/>
      <c r="E65511" s="202"/>
    </row>
    <row r="65512" spans="1:57" x14ac:dyDescent="0.3">
      <c r="A65512" s="207"/>
      <c r="B65512" s="201"/>
      <c r="C65512" s="204"/>
      <c r="D65512" s="201"/>
      <c r="E65512" s="202"/>
    </row>
    <row r="65513" spans="1:57" ht="14.4" thickBot="1" x14ac:dyDescent="0.35">
      <c r="A65513" s="221"/>
      <c r="B65513" s="204"/>
      <c r="C65513" s="204"/>
      <c r="D65513" s="202"/>
      <c r="E65513" s="202"/>
      <c r="R65513" s="103"/>
      <c r="BE65513" s="104"/>
    </row>
    <row r="65514" spans="1:57" x14ac:dyDescent="0.3">
      <c r="A65514" s="201"/>
      <c r="B65514" s="204"/>
      <c r="C65514" s="204"/>
      <c r="D65514" s="202"/>
      <c r="E65514" s="202"/>
      <c r="R65514" s="103"/>
      <c r="BE65514" s="104"/>
    </row>
    <row r="65515" spans="1:57" x14ac:dyDescent="0.3">
      <c r="A65515" s="201"/>
      <c r="B65515" s="204"/>
      <c r="C65515" s="204"/>
      <c r="D65515" s="202"/>
      <c r="E65515" s="202"/>
      <c r="R65515" s="103"/>
      <c r="BE65515" s="104"/>
    </row>
    <row r="65516" spans="1:57" x14ac:dyDescent="0.3">
      <c r="A65516" s="201"/>
      <c r="B65516" s="204"/>
      <c r="C65516" s="204"/>
      <c r="D65516" s="202"/>
      <c r="E65516" s="202"/>
      <c r="R65516" s="103"/>
      <c r="BE65516" s="104"/>
    </row>
    <row r="65517" spans="1:57" x14ac:dyDescent="0.3">
      <c r="A65517" s="201"/>
      <c r="B65517" s="204"/>
      <c r="C65517" s="204"/>
      <c r="D65517" s="202"/>
      <c r="E65517" s="202"/>
      <c r="R65517" s="103"/>
      <c r="BE65517" s="104"/>
    </row>
    <row r="65518" spans="1:57" x14ac:dyDescent="0.3">
      <c r="A65518" s="201" t="s">
        <v>460</v>
      </c>
      <c r="B65518" s="204"/>
      <c r="C65518" s="204"/>
      <c r="D65518" s="202"/>
      <c r="E65518" s="202"/>
      <c r="R65518" s="103"/>
      <c r="BE65518" s="104"/>
    </row>
    <row r="65519" spans="1:57" x14ac:dyDescent="0.3">
      <c r="A65519" s="201" t="s">
        <v>435</v>
      </c>
      <c r="B65519" s="204"/>
      <c r="C65519" s="204"/>
      <c r="D65519" s="202"/>
      <c r="E65519" s="202"/>
      <c r="R65519" s="103"/>
      <c r="BE65519" s="104"/>
    </row>
    <row r="65520" spans="1:57" x14ac:dyDescent="0.3">
      <c r="A65520" s="201" t="s">
        <v>436</v>
      </c>
      <c r="B65520" s="204"/>
      <c r="C65520" s="204"/>
      <c r="D65520" s="202"/>
      <c r="E65520" s="202"/>
      <c r="R65520" s="103"/>
      <c r="BE65520" s="104"/>
    </row>
    <row r="65521" spans="1:57" x14ac:dyDescent="0.3">
      <c r="A65521" s="201" t="s">
        <v>437</v>
      </c>
      <c r="B65521" s="204"/>
      <c r="C65521" s="204"/>
      <c r="D65521" s="202"/>
      <c r="E65521" s="202"/>
      <c r="R65521" s="103"/>
      <c r="BE65521" s="104"/>
    </row>
    <row r="65522" spans="1:57" x14ac:dyDescent="0.3">
      <c r="A65522" s="201" t="s">
        <v>197</v>
      </c>
      <c r="B65522" s="204"/>
      <c r="C65522" s="204"/>
      <c r="D65522" s="202"/>
      <c r="E65522" s="202"/>
      <c r="R65522" s="103"/>
      <c r="BE65522" s="104"/>
    </row>
    <row r="65523" spans="1:57" x14ac:dyDescent="0.3">
      <c r="A65523" s="201" t="s">
        <v>438</v>
      </c>
      <c r="B65523" s="201"/>
      <c r="C65523" s="204"/>
      <c r="D65523" s="201"/>
      <c r="E65523" s="202"/>
    </row>
    <row r="65524" spans="1:57" x14ac:dyDescent="0.3">
      <c r="A65524" s="201" t="s">
        <v>198</v>
      </c>
      <c r="B65524" s="201"/>
      <c r="C65524" s="204"/>
      <c r="D65524" s="201"/>
      <c r="E65524" s="202"/>
    </row>
  </sheetData>
  <sheetProtection algorithmName="SHA-512" hashValue="5jphuunGvUqzi6Aw+R0f9v1Kdffxe1JttntsTlOz3/E270RvdXc1v+UBF0vL/3ErNiGXlv3W4mNt3uIwKDrEvA==" saltValue="69QOfu0pxoBCA2osZL+RlQ==" spinCount="100000" sheet="1" objects="1" scenarios="1"/>
  <mergeCells count="44">
    <mergeCell ref="A13:A14"/>
    <mergeCell ref="B12:C12"/>
    <mergeCell ref="B1:CX1"/>
    <mergeCell ref="A2:D2"/>
    <mergeCell ref="B3:C3"/>
    <mergeCell ref="B4:C4"/>
    <mergeCell ref="B5:C5"/>
    <mergeCell ref="B6:C6"/>
    <mergeCell ref="B7:C7"/>
    <mergeCell ref="B8:C8"/>
    <mergeCell ref="B9:C9"/>
    <mergeCell ref="B10:C10"/>
    <mergeCell ref="B11:C11"/>
    <mergeCell ref="B13:B14"/>
    <mergeCell ref="C13:C14"/>
    <mergeCell ref="D43:D44"/>
    <mergeCell ref="B45:B48"/>
    <mergeCell ref="D45:D46"/>
    <mergeCell ref="B50:B52"/>
    <mergeCell ref="A22:A36"/>
    <mergeCell ref="B26:B28"/>
    <mergeCell ref="B29:B32"/>
    <mergeCell ref="D30:D31"/>
    <mergeCell ref="B33:B36"/>
    <mergeCell ref="D35:D36"/>
    <mergeCell ref="A37:A53"/>
    <mergeCell ref="B37:B44"/>
    <mergeCell ref="D38:D39"/>
    <mergeCell ref="D40:D41"/>
    <mergeCell ref="E106:E110"/>
    <mergeCell ref="B81:D81"/>
    <mergeCell ref="K92:Q92"/>
    <mergeCell ref="L93:Q93"/>
    <mergeCell ref="F94:H94"/>
    <mergeCell ref="L94:M94"/>
    <mergeCell ref="N94:O94"/>
    <mergeCell ref="P94:Q94"/>
    <mergeCell ref="G100:I100"/>
    <mergeCell ref="E102:E105"/>
    <mergeCell ref="A54:A63"/>
    <mergeCell ref="B55:B59"/>
    <mergeCell ref="B62:B63"/>
    <mergeCell ref="A64:A69"/>
    <mergeCell ref="B64:B69"/>
  </mergeCells>
  <conditionalFormatting sqref="B11">
    <cfRule type="containsText" dxfId="24" priority="14" operator="containsText" text="NO">
      <formula>NOT(ISERROR(SEARCH("NO",B11)))</formula>
    </cfRule>
    <cfRule type="containsText" dxfId="23" priority="15" operator="containsText" text="SI">
      <formula>NOT(ISERROR(SEARCH("SI",B11)))</formula>
    </cfRule>
  </conditionalFormatting>
  <conditionalFormatting sqref="B15">
    <cfRule type="cellIs" dxfId="22" priority="19" stopIfTrue="1" operator="equal">
      <formula>"ANTIECONOMICO"</formula>
    </cfRule>
    <cfRule type="containsText" dxfId="21" priority="20" stopIfTrue="1" operator="containsText" text="ECONOMICO">
      <formula>NOT(ISERROR(SEARCH("ECONOMICO",B15)))</formula>
    </cfRule>
  </conditionalFormatting>
  <conditionalFormatting sqref="B16">
    <cfRule type="cellIs" dxfId="20" priority="21" stopIfTrue="1" operator="equal">
      <formula>"EFICAZ"</formula>
    </cfRule>
    <cfRule type="cellIs" dxfId="19" priority="22" stopIfTrue="1" operator="equal">
      <formula>"INEFICAZ"</formula>
    </cfRule>
  </conditionalFormatting>
  <conditionalFormatting sqref="B17">
    <cfRule type="cellIs" dxfId="18" priority="12" operator="equal">
      <formula>"DEFICIENTE"</formula>
    </cfRule>
    <cfRule type="containsText" dxfId="17" priority="13" operator="containsText" text="EFICIENTE">
      <formula>NOT(ISERROR(SEARCH("EFICIENTE",B17)))</formula>
    </cfRule>
  </conditionalFormatting>
  <conditionalFormatting sqref="B18">
    <cfRule type="containsText" dxfId="16" priority="16" operator="containsText" text="MODERADAMENTE EFECTIVO">
      <formula>NOT(ISERROR(SEARCH("MODERADAMENTE EFECTIVO",B18)))</formula>
    </cfRule>
    <cfRule type="containsText" dxfId="15" priority="17" stopIfTrue="1" operator="containsText" text="INEFECTIVO">
      <formula>NOT(ISERROR(SEARCH("INEFECTIVO",B18)))</formula>
    </cfRule>
    <cfRule type="containsText" dxfId="14" priority="18" stopIfTrue="1" operator="containsText" text="EFECTIVO">
      <formula>NOT(ISERROR(SEARCH("EFECTIVO",B18)))</formula>
    </cfRule>
  </conditionalFormatting>
  <conditionalFormatting sqref="F17:L17">
    <cfRule type="containsText" dxfId="13" priority="11" operator="containsText" text="FISCAL">
      <formula>NOT(ISERROR(SEARCH("FISCAL",F17)))</formula>
    </cfRule>
  </conditionalFormatting>
  <conditionalFormatting sqref="F16:CY16 E16:E17">
    <cfRule type="containsText" dxfId="12" priority="24" operator="containsText" text="FISCAL">
      <formula>NOT(ISERROR(SEARCH("FISCAL",E16)))</formula>
    </cfRule>
  </conditionalFormatting>
  <conditionalFormatting sqref="N17:AE17 AG17:CY17">
    <cfRule type="containsText" dxfId="11" priority="23" operator="containsText" text="FISCAL">
      <formula>NOT(ISERROR(SEARCH("FISCAL",N17)))</formula>
    </cfRule>
  </conditionalFormatting>
  <dataValidations count="12">
    <dataValidation type="decimal" allowBlank="1" showInputMessage="1" showErrorMessage="1" error="Cuantía del detrimento de la vigencia evaluada no puedo ser mayor al valor auditado de la vigencia evaluada del contrato" sqref="E17:CY17">
      <formula1>0</formula1>
      <formula2>E9</formula2>
    </dataValidation>
    <dataValidation type="decimal" allowBlank="1" showInputMessage="1" showErrorMessage="1" error="El valor auditado no puede ser mayor al valor del contrato" sqref="E9:CY9">
      <formula1>0</formula1>
      <formula2>E8</formula2>
    </dataValidation>
    <dataValidation allowBlank="1" showInputMessage="1" showErrorMessage="1" error="Cuantía del detrimento no puedo ser mayor al valor auditado del contrato" sqref="E18:CY18"/>
    <dataValidation type="whole" allowBlank="1" showInputMessage="1" showErrorMessage="1" sqref="C65379:C65414">
      <formula1>0</formula1>
      <formula2>99999999999</formula2>
    </dataValidation>
    <dataValidation type="decimal" allowBlank="1" showInputMessage="1" showErrorMessage="1" error="Solo se deben incorporar valores entre 0 a 100 o dejar la celda en blanco. " sqref="E22:CY69">
      <formula1>0</formula1>
      <formula2>1</formula2>
    </dataValidation>
    <dataValidation type="decimal" allowBlank="1" showInputMessage="1" showErrorMessage="1" sqref="E8:CY8 CZ8:XFD10">
      <formula1>0</formula1>
      <formula2>9.99999999999999E+22</formula2>
    </dataValidation>
    <dataValidation type="list" showInputMessage="1" showErrorMessage="1" sqref="E16:CY16">
      <formula1>HALLAZGOS</formula1>
    </dataValidation>
    <dataValidation type="whole" allowBlank="1" showInputMessage="1" showErrorMessage="1" sqref="B7">
      <formula1>0</formula1>
      <formula2>999999999999999</formula2>
    </dataValidation>
    <dataValidation type="list" allowBlank="1" showInputMessage="1" showErrorMessage="1" sqref="E14:CY14">
      <formula1>$A$65518:$A$65524</formula1>
    </dataValidation>
    <dataValidation type="list" allowBlank="1" showInputMessage="1" showErrorMessage="1" sqref="C64:C69">
      <formula1>$E$115:$E$117</formula1>
    </dataValidation>
    <dataValidation type="decimal" allowBlank="1" showInputMessage="1" showErrorMessage="1" error="Cuantía del detrimento no puedo ser mayor al valor total del contrato" sqref="E20:AE20">
      <formula1>0</formula1>
      <formula2>E10</formula2>
    </dataValidation>
    <dataValidation type="list" allowBlank="1" showInputMessage="1" showErrorMessage="1" sqref="E6:CY6">
      <formula1>$B$93:$B$94</formula1>
    </dataValidation>
  </dataValidations>
  <pageMargins left="0.7" right="0.7" top="0.75" bottom="0.75" header="0.3" footer="0.3"/>
  <drawing r:id="rId1"/>
  <legacyDrawing r:id="rId2"/>
  <tableParts count="5">
    <tablePart r:id="rId3"/>
    <tablePart r:id="rId4"/>
    <tablePart r:id="rId5"/>
    <tablePart r:id="rId6"/>
    <tablePart r:id="rId7"/>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workbookViewId="0">
      <selection activeCell="C22" sqref="C22"/>
    </sheetView>
  </sheetViews>
  <sheetFormatPr baseColWidth="10" defaultColWidth="11.44140625" defaultRowHeight="14.4" x14ac:dyDescent="0.3"/>
  <cols>
    <col min="1" max="2" width="31.5546875" customWidth="1"/>
    <col min="3" max="3" width="30.6640625" customWidth="1"/>
    <col min="4" max="4" width="32.33203125" style="410" customWidth="1"/>
    <col min="5" max="5" width="5.88671875" customWidth="1"/>
    <col min="6" max="6" width="31.109375" customWidth="1"/>
    <col min="7" max="7" width="28.6640625" customWidth="1"/>
    <col min="8" max="8" width="31.109375" customWidth="1"/>
    <col min="9" max="9" width="23.33203125" customWidth="1"/>
    <col min="10" max="10" width="20" customWidth="1"/>
    <col min="11" max="11" width="18.44140625" customWidth="1"/>
  </cols>
  <sheetData>
    <row r="2" spans="1:9" ht="43.2" x14ac:dyDescent="0.3">
      <c r="A2" s="921" t="s">
        <v>1602</v>
      </c>
      <c r="B2" s="922" t="s">
        <v>1603</v>
      </c>
      <c r="C2" s="922" t="s">
        <v>1604</v>
      </c>
      <c r="D2" s="922" t="s">
        <v>1605</v>
      </c>
      <c r="F2" s="923" t="s">
        <v>1602</v>
      </c>
      <c r="G2" s="922" t="s">
        <v>1605</v>
      </c>
      <c r="H2" s="922" t="s">
        <v>1606</v>
      </c>
      <c r="I2" s="922" t="s">
        <v>1607</v>
      </c>
    </row>
    <row r="3" spans="1:9" ht="15" x14ac:dyDescent="0.3">
      <c r="A3" s="924" t="str">
        <f>+CONCATENATE(B3,C3)</f>
        <v>NegativaEfectivo</v>
      </c>
      <c r="B3" s="925" t="s">
        <v>538</v>
      </c>
      <c r="C3" s="926" t="s">
        <v>146</v>
      </c>
      <c r="D3" s="925" t="s">
        <v>1608</v>
      </c>
      <c r="F3" s="927" t="str">
        <f>+CONCATENATE(G3,H3)</f>
        <v>No RazonableNegativa</v>
      </c>
      <c r="G3" s="925" t="s">
        <v>1608</v>
      </c>
      <c r="H3" s="925" t="s">
        <v>538</v>
      </c>
      <c r="I3" s="925" t="s">
        <v>1609</v>
      </c>
    </row>
    <row r="4" spans="1:9" x14ac:dyDescent="0.3">
      <c r="A4" s="924" t="str">
        <f t="shared" ref="A4:A18" si="0">+CONCATENATE(B4,C4)</f>
        <v>NegativaModeradamente Efectivo</v>
      </c>
      <c r="B4" s="925" t="s">
        <v>538</v>
      </c>
      <c r="C4" s="928" t="s">
        <v>143</v>
      </c>
      <c r="D4" s="925" t="s">
        <v>1608</v>
      </c>
      <c r="F4" s="927" t="str">
        <f t="shared" ref="F4:F18" si="1">+CONCATENATE(G4,H4)</f>
        <v>No RazonableAbstención</v>
      </c>
      <c r="G4" s="925" t="s">
        <v>1608</v>
      </c>
      <c r="H4" s="925" t="s">
        <v>544</v>
      </c>
      <c r="I4" s="925" t="s">
        <v>1609</v>
      </c>
    </row>
    <row r="5" spans="1:9" x14ac:dyDescent="0.3">
      <c r="A5" s="924" t="str">
        <f t="shared" si="0"/>
        <v>NegativaInefectivo</v>
      </c>
      <c r="B5" s="925" t="s">
        <v>538</v>
      </c>
      <c r="C5" s="925" t="s">
        <v>131</v>
      </c>
      <c r="D5" s="925" t="s">
        <v>1608</v>
      </c>
      <c r="F5" s="927" t="str">
        <f t="shared" si="1"/>
        <v>No RazonableCon Salvedades</v>
      </c>
      <c r="G5" s="925" t="s">
        <v>1608</v>
      </c>
      <c r="H5" s="928" t="s">
        <v>534</v>
      </c>
      <c r="I5" s="925" t="s">
        <v>1609</v>
      </c>
    </row>
    <row r="6" spans="1:9" ht="15" x14ac:dyDescent="0.3">
      <c r="A6" s="924" t="str">
        <f t="shared" si="0"/>
        <v>NegativaNO APLICA</v>
      </c>
      <c r="B6" s="925" t="s">
        <v>538</v>
      </c>
      <c r="C6" s="929" t="s">
        <v>460</v>
      </c>
      <c r="D6" s="925" t="s">
        <v>1608</v>
      </c>
      <c r="F6" s="927" t="str">
        <f t="shared" si="1"/>
        <v>No RazonableLimpia o Sin Salvedades</v>
      </c>
      <c r="G6" s="925" t="s">
        <v>1608</v>
      </c>
      <c r="H6" s="926" t="s">
        <v>529</v>
      </c>
      <c r="I6" s="925" t="s">
        <v>1609</v>
      </c>
    </row>
    <row r="7" spans="1:9" ht="15" x14ac:dyDescent="0.3">
      <c r="A7" s="924" t="str">
        <f t="shared" si="0"/>
        <v>AbstenciónEfectivo</v>
      </c>
      <c r="B7" s="925" t="s">
        <v>544</v>
      </c>
      <c r="C7" s="926" t="s">
        <v>146</v>
      </c>
      <c r="D7" s="925" t="s">
        <v>544</v>
      </c>
      <c r="F7" s="927" t="str">
        <f t="shared" si="1"/>
        <v>AbstenciónNegativa</v>
      </c>
      <c r="G7" s="925" t="s">
        <v>544</v>
      </c>
      <c r="H7" s="925" t="s">
        <v>538</v>
      </c>
      <c r="I7" s="925" t="s">
        <v>1609</v>
      </c>
    </row>
    <row r="8" spans="1:9" x14ac:dyDescent="0.3">
      <c r="A8" s="924" t="str">
        <f t="shared" si="0"/>
        <v>AbstenciónModeradamente Efectivo</v>
      </c>
      <c r="B8" s="925" t="s">
        <v>544</v>
      </c>
      <c r="C8" s="928" t="s">
        <v>143</v>
      </c>
      <c r="D8" s="925" t="s">
        <v>544</v>
      </c>
      <c r="F8" s="927" t="str">
        <f t="shared" si="1"/>
        <v>AbstenciónAbstención</v>
      </c>
      <c r="G8" s="925" t="s">
        <v>544</v>
      </c>
      <c r="H8" s="925" t="s">
        <v>544</v>
      </c>
      <c r="I8" s="925" t="s">
        <v>1609</v>
      </c>
    </row>
    <row r="9" spans="1:9" x14ac:dyDescent="0.3">
      <c r="A9" s="924" t="str">
        <f t="shared" si="0"/>
        <v>AbstenciónInefectivo</v>
      </c>
      <c r="B9" s="925" t="s">
        <v>544</v>
      </c>
      <c r="C9" s="925" t="s">
        <v>131</v>
      </c>
      <c r="D9" s="925" t="s">
        <v>544</v>
      </c>
      <c r="F9" s="927" t="str">
        <f t="shared" si="1"/>
        <v>AbstenciónCon Salvedades</v>
      </c>
      <c r="G9" s="925" t="s">
        <v>544</v>
      </c>
      <c r="H9" s="928" t="s">
        <v>534</v>
      </c>
      <c r="I9" s="925" t="s">
        <v>1609</v>
      </c>
    </row>
    <row r="10" spans="1:9" ht="15" x14ac:dyDescent="0.3">
      <c r="A10" s="924" t="str">
        <f t="shared" si="0"/>
        <v>AbstenciónNO APLICA</v>
      </c>
      <c r="B10" s="925" t="s">
        <v>544</v>
      </c>
      <c r="C10" s="929" t="s">
        <v>460</v>
      </c>
      <c r="D10" s="925" t="s">
        <v>544</v>
      </c>
      <c r="F10" s="927" t="str">
        <f t="shared" si="1"/>
        <v>AbstenciónLimpia o Sin Salvedades</v>
      </c>
      <c r="G10" s="925" t="s">
        <v>544</v>
      </c>
      <c r="H10" s="926" t="s">
        <v>529</v>
      </c>
      <c r="I10" s="925" t="s">
        <v>1609</v>
      </c>
    </row>
    <row r="11" spans="1:9" ht="15" x14ac:dyDescent="0.3">
      <c r="A11" s="924" t="str">
        <f t="shared" si="0"/>
        <v>Con SalvedadesEfectivo</v>
      </c>
      <c r="B11" s="928" t="s">
        <v>534</v>
      </c>
      <c r="C11" s="926" t="s">
        <v>146</v>
      </c>
      <c r="D11" s="928" t="s">
        <v>534</v>
      </c>
      <c r="F11" s="927" t="str">
        <f t="shared" si="1"/>
        <v>Con SalvedadesNegativa</v>
      </c>
      <c r="G11" s="928" t="s">
        <v>534</v>
      </c>
      <c r="H11" s="925" t="s">
        <v>538</v>
      </c>
      <c r="I11" s="925" t="s">
        <v>1609</v>
      </c>
    </row>
    <row r="12" spans="1:9" x14ac:dyDescent="0.3">
      <c r="A12" s="924" t="str">
        <f t="shared" si="0"/>
        <v>Con SalvedadesModeradamente Efectivo</v>
      </c>
      <c r="B12" s="928" t="s">
        <v>534</v>
      </c>
      <c r="C12" s="928" t="s">
        <v>143</v>
      </c>
      <c r="D12" s="928" t="s">
        <v>534</v>
      </c>
      <c r="F12" s="927" t="str">
        <f t="shared" si="1"/>
        <v>Con SalvedadesAbstención</v>
      </c>
      <c r="G12" s="928" t="s">
        <v>534</v>
      </c>
      <c r="H12" s="925" t="s">
        <v>544</v>
      </c>
      <c r="I12" s="925" t="s">
        <v>1609</v>
      </c>
    </row>
    <row r="13" spans="1:9" ht="15" x14ac:dyDescent="0.3">
      <c r="A13" s="924" t="str">
        <f t="shared" si="0"/>
        <v>Con SalvedadesInefectivo</v>
      </c>
      <c r="B13" s="928" t="s">
        <v>534</v>
      </c>
      <c r="C13" s="925" t="s">
        <v>131</v>
      </c>
      <c r="D13" s="925" t="s">
        <v>1610</v>
      </c>
      <c r="F13" s="927" t="str">
        <f t="shared" si="1"/>
        <v>Con SalvedadesCon Salvedades</v>
      </c>
      <c r="G13" s="928" t="s">
        <v>534</v>
      </c>
      <c r="H13" s="928" t="s">
        <v>534</v>
      </c>
      <c r="I13" s="930" t="s">
        <v>1611</v>
      </c>
    </row>
    <row r="14" spans="1:9" ht="15" x14ac:dyDescent="0.3">
      <c r="A14" s="924" t="str">
        <f t="shared" si="0"/>
        <v>Con SalvedadesNO APLICA</v>
      </c>
      <c r="B14" s="928" t="s">
        <v>534</v>
      </c>
      <c r="C14" s="929" t="s">
        <v>460</v>
      </c>
      <c r="D14" s="928" t="s">
        <v>534</v>
      </c>
      <c r="F14" s="927" t="str">
        <f t="shared" si="1"/>
        <v>Con SalvedadesLimpia o Sin Salvedades</v>
      </c>
      <c r="G14" s="928" t="s">
        <v>534</v>
      </c>
      <c r="H14" s="926" t="s">
        <v>529</v>
      </c>
      <c r="I14" s="930" t="s">
        <v>1611</v>
      </c>
    </row>
    <row r="15" spans="1:9" ht="15" x14ac:dyDescent="0.3">
      <c r="A15" s="924" t="str">
        <f t="shared" si="0"/>
        <v>Limpio o Sin SalvedadesEfectivo</v>
      </c>
      <c r="B15" s="926" t="s">
        <v>1612</v>
      </c>
      <c r="C15" s="926" t="s">
        <v>146</v>
      </c>
      <c r="D15" s="926" t="s">
        <v>868</v>
      </c>
      <c r="F15" s="927" t="str">
        <f t="shared" si="1"/>
        <v>RazonableNegativa</v>
      </c>
      <c r="G15" s="926" t="s">
        <v>868</v>
      </c>
      <c r="H15" s="925" t="s">
        <v>538</v>
      </c>
      <c r="I15" s="925" t="s">
        <v>1609</v>
      </c>
    </row>
    <row r="16" spans="1:9" ht="15" x14ac:dyDescent="0.3">
      <c r="A16" s="924" t="str">
        <f t="shared" si="0"/>
        <v>Limpio o Sin SalvedadesModeradamente Efectivo</v>
      </c>
      <c r="B16" s="926" t="s">
        <v>1612</v>
      </c>
      <c r="C16" s="928" t="s">
        <v>143</v>
      </c>
      <c r="D16" s="926" t="s">
        <v>868</v>
      </c>
      <c r="F16" s="927" t="str">
        <f t="shared" si="1"/>
        <v>RazonableAbstención</v>
      </c>
      <c r="G16" s="926" t="s">
        <v>868</v>
      </c>
      <c r="H16" s="925" t="s">
        <v>544</v>
      </c>
      <c r="I16" s="925" t="s">
        <v>1609</v>
      </c>
    </row>
    <row r="17" spans="1:9" ht="15" x14ac:dyDescent="0.3">
      <c r="A17" s="924" t="str">
        <f t="shared" si="0"/>
        <v>Limpio o Sin SalvedadesInefectivo</v>
      </c>
      <c r="B17" s="926" t="s">
        <v>1612</v>
      </c>
      <c r="C17" s="925" t="s">
        <v>131</v>
      </c>
      <c r="D17" s="925" t="s">
        <v>1608</v>
      </c>
      <c r="F17" s="927" t="str">
        <f t="shared" si="1"/>
        <v>RazonableCon Salvedades</v>
      </c>
      <c r="G17" s="926" t="s">
        <v>868</v>
      </c>
      <c r="H17" s="928" t="s">
        <v>534</v>
      </c>
      <c r="I17" s="930" t="s">
        <v>1611</v>
      </c>
    </row>
    <row r="18" spans="1:9" ht="15" customHeight="1" x14ac:dyDescent="0.3">
      <c r="A18" s="924" t="str">
        <f t="shared" si="0"/>
        <v>Limpio o Sin SalvedadesNO APLICA</v>
      </c>
      <c r="B18" s="926" t="s">
        <v>1612</v>
      </c>
      <c r="C18" s="929" t="s">
        <v>460</v>
      </c>
      <c r="D18" s="926" t="s">
        <v>868</v>
      </c>
      <c r="F18" s="927" t="str">
        <f t="shared" si="1"/>
        <v>RazonableLimpia o Sin Salvedades</v>
      </c>
      <c r="G18" s="926" t="s">
        <v>868</v>
      </c>
      <c r="H18" s="926" t="s">
        <v>529</v>
      </c>
      <c r="I18" s="930" t="s">
        <v>1611</v>
      </c>
    </row>
    <row r="25" spans="1:9" ht="28.8" x14ac:dyDescent="0.3">
      <c r="A25" s="921" t="s">
        <v>1602</v>
      </c>
      <c r="B25" s="922" t="s">
        <v>1613</v>
      </c>
      <c r="C25" s="922" t="s">
        <v>1614</v>
      </c>
      <c r="D25" s="922" t="s">
        <v>1606</v>
      </c>
    </row>
    <row r="26" spans="1:9" ht="15" x14ac:dyDescent="0.3">
      <c r="A26" s="924" t="str">
        <f t="shared" ref="A26:A37" si="2">+CONCATENATE(B26,C26)</f>
        <v>NegativaEfectivo</v>
      </c>
      <c r="B26" s="925" t="s">
        <v>538</v>
      </c>
      <c r="C26" s="926" t="s">
        <v>146</v>
      </c>
      <c r="D26" s="925" t="s">
        <v>538</v>
      </c>
    </row>
    <row r="27" spans="1:9" x14ac:dyDescent="0.3">
      <c r="A27" s="924" t="str">
        <f t="shared" si="2"/>
        <v>NegativaInefectivo</v>
      </c>
      <c r="B27" s="925" t="s">
        <v>538</v>
      </c>
      <c r="C27" s="925" t="s">
        <v>131</v>
      </c>
      <c r="D27" s="925" t="s">
        <v>538</v>
      </c>
    </row>
    <row r="28" spans="1:9" x14ac:dyDescent="0.3">
      <c r="A28" s="924" t="str">
        <f t="shared" si="2"/>
        <v>NegativaNO APLICA</v>
      </c>
      <c r="B28" s="925" t="s">
        <v>538</v>
      </c>
      <c r="C28" s="928" t="s">
        <v>460</v>
      </c>
      <c r="D28" s="925" t="s">
        <v>538</v>
      </c>
    </row>
    <row r="29" spans="1:9" ht="15" x14ac:dyDescent="0.3">
      <c r="A29" s="924" t="str">
        <f t="shared" si="2"/>
        <v>AbstenciónEfectivo</v>
      </c>
      <c r="B29" s="925" t="s">
        <v>544</v>
      </c>
      <c r="C29" s="926" t="s">
        <v>146</v>
      </c>
      <c r="D29" s="925" t="s">
        <v>544</v>
      </c>
    </row>
    <row r="30" spans="1:9" x14ac:dyDescent="0.3">
      <c r="A30" s="924" t="str">
        <f t="shared" si="2"/>
        <v>AbstenciónInefectivo</v>
      </c>
      <c r="B30" s="925" t="s">
        <v>544</v>
      </c>
      <c r="C30" s="925" t="s">
        <v>131</v>
      </c>
      <c r="D30" s="925" t="s">
        <v>544</v>
      </c>
    </row>
    <row r="31" spans="1:9" x14ac:dyDescent="0.3">
      <c r="A31" s="924" t="str">
        <f t="shared" si="2"/>
        <v>AbstenciónNO APLICA</v>
      </c>
      <c r="B31" s="925" t="s">
        <v>544</v>
      </c>
      <c r="C31" s="928" t="s">
        <v>460</v>
      </c>
      <c r="D31" s="925" t="s">
        <v>544</v>
      </c>
    </row>
    <row r="32" spans="1:9" ht="15" x14ac:dyDescent="0.3">
      <c r="A32" s="924" t="str">
        <f t="shared" si="2"/>
        <v>Limpia o Sin SalvedadesEfectivo</v>
      </c>
      <c r="B32" s="926" t="s">
        <v>529</v>
      </c>
      <c r="C32" s="926" t="s">
        <v>146</v>
      </c>
      <c r="D32" s="926" t="s">
        <v>529</v>
      </c>
    </row>
    <row r="33" spans="1:4" ht="15" x14ac:dyDescent="0.3">
      <c r="A33" s="924" t="str">
        <f t="shared" si="2"/>
        <v>Limpia o Sin SalvedadesInefectivo</v>
      </c>
      <c r="B33" s="926" t="s">
        <v>529</v>
      </c>
      <c r="C33" s="925" t="s">
        <v>131</v>
      </c>
      <c r="D33" s="926" t="s">
        <v>529</v>
      </c>
    </row>
    <row r="34" spans="1:4" ht="15" x14ac:dyDescent="0.3">
      <c r="A34" s="924" t="str">
        <f t="shared" si="2"/>
        <v>Limpia o Sin SalvedadesNO APLICA</v>
      </c>
      <c r="B34" s="926" t="s">
        <v>529</v>
      </c>
      <c r="C34" s="928" t="s">
        <v>460</v>
      </c>
      <c r="D34" s="926" t="s">
        <v>529</v>
      </c>
    </row>
    <row r="35" spans="1:4" ht="15" x14ac:dyDescent="0.3">
      <c r="A35" s="924" t="str">
        <f t="shared" si="2"/>
        <v>Con SalvedadesEfectivo</v>
      </c>
      <c r="B35" s="928" t="s">
        <v>534</v>
      </c>
      <c r="C35" s="926" t="s">
        <v>146</v>
      </c>
      <c r="D35" s="928" t="s">
        <v>534</v>
      </c>
    </row>
    <row r="36" spans="1:4" x14ac:dyDescent="0.3">
      <c r="A36" s="924" t="str">
        <f t="shared" si="2"/>
        <v>Con SalvedadesInefectivo</v>
      </c>
      <c r="B36" s="928" t="s">
        <v>534</v>
      </c>
      <c r="C36" s="925" t="s">
        <v>131</v>
      </c>
      <c r="D36" s="928" t="s">
        <v>534</v>
      </c>
    </row>
    <row r="37" spans="1:4" x14ac:dyDescent="0.3">
      <c r="A37" s="924" t="str">
        <f t="shared" si="2"/>
        <v>Con SalvedadesNO APLICA</v>
      </c>
      <c r="B37" s="928" t="s">
        <v>534</v>
      </c>
      <c r="C37" s="928" t="s">
        <v>460</v>
      </c>
      <c r="D37" s="928" t="s">
        <v>534</v>
      </c>
    </row>
  </sheetData>
  <conditionalFormatting sqref="B7:B10">
    <cfRule type="containsText" dxfId="10" priority="20" operator="containsText" text="Abstención">
      <formula>NOT(ISERROR(SEARCH("Abstención",B7)))</formula>
    </cfRule>
  </conditionalFormatting>
  <conditionalFormatting sqref="B29:B31">
    <cfRule type="containsText" dxfId="9" priority="14" operator="containsText" text="Abstención">
      <formula>NOT(ISERROR(SEARCH("Abstención",B29)))</formula>
    </cfRule>
  </conditionalFormatting>
  <conditionalFormatting sqref="D7:D10">
    <cfRule type="containsText" dxfId="8" priority="19" operator="containsText" text="Abstención">
      <formula>NOT(ISERROR(SEARCH("Abstención",D7)))</formula>
    </cfRule>
  </conditionalFormatting>
  <conditionalFormatting sqref="D29:D31">
    <cfRule type="containsText" dxfId="7" priority="12" operator="containsText" text="Abstención">
      <formula>NOT(ISERROR(SEARCH("Abstención",D29)))</formula>
    </cfRule>
  </conditionalFormatting>
  <conditionalFormatting sqref="G7:G10">
    <cfRule type="containsText" dxfId="6" priority="9" operator="containsText" text="Abstención">
      <formula>NOT(ISERROR(SEARCH("Abstención",G7)))</formula>
    </cfRule>
  </conditionalFormatting>
  <conditionalFormatting sqref="H4">
    <cfRule type="containsText" dxfId="5" priority="10" operator="containsText" text="Abstención">
      <formula>NOT(ISERROR(SEARCH("Abstención",H4)))</formula>
    </cfRule>
  </conditionalFormatting>
  <conditionalFormatting sqref="H8">
    <cfRule type="containsText" dxfId="4" priority="8" operator="containsText" text="Abstención">
      <formula>NOT(ISERROR(SEARCH("Abstención",H8)))</formula>
    </cfRule>
  </conditionalFormatting>
  <conditionalFormatting sqref="H12">
    <cfRule type="containsText" dxfId="3" priority="7" operator="containsText" text="Abstención">
      <formula>NOT(ISERROR(SEARCH("Abstención",H12)))</formula>
    </cfRule>
  </conditionalFormatting>
  <conditionalFormatting sqref="H16">
    <cfRule type="containsText" dxfId="2" priority="6" operator="containsText" text="Abstención">
      <formula>NOT(ISERROR(SEARCH("Abstención",H16)))</formula>
    </cfRule>
  </conditionalFormatting>
  <conditionalFormatting sqref="I3:I12">
    <cfRule type="containsText" dxfId="1" priority="1" operator="containsText" text="NO">
      <formula>NOT(ISERROR(SEARCH("NO",I3)))</formula>
    </cfRule>
  </conditionalFormatting>
  <conditionalFormatting sqref="I15:I16">
    <cfRule type="containsText" dxfId="0" priority="3" operator="containsText" text="NO">
      <formula>NOT(ISERROR(SEARCH("NO",I15)))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LISTAS</vt:lpstr>
      <vt:lpstr>FENECIMIENTO CUENTA</vt:lpstr>
      <vt:lpstr>LISTAS PPTO</vt:lpstr>
      <vt:lpstr>FENECIMIENTO</vt:lpstr>
      <vt:lpstr>ANALÍTICA ESTADO SITUACIÓN F</vt:lpstr>
      <vt:lpstr>ANALÍTICA ESTADO DE RESULTAD</vt:lpstr>
      <vt:lpstr>MATERIALIDAD FINANCIERA</vt:lpstr>
      <vt:lpstr>HALLAZGOS OPINIÓN_FIN</vt:lpstr>
      <vt:lpstr>DESEMPEÑO FINANCIERO</vt:lpstr>
      <vt:lpstr>ANALÍTICA PRESUPUESTAL</vt:lpstr>
      <vt:lpstr>MATERIALIDAD PRESUPUESTAL</vt:lpstr>
      <vt:lpstr>HALLAZGOS CONCEPTO_PRES</vt:lpstr>
      <vt:lpstr>PLANES Y PROYECTOS</vt:lpstr>
      <vt:lpstr>PLAN ESTRATÉGICO</vt:lpstr>
      <vt:lpstr>ANALÍTICAS GASTO PÚBLICO</vt:lpstr>
      <vt:lpstr>MATERIALIDAD GASTO PÚBLICO</vt:lpstr>
      <vt:lpstr>CALIFICACIÓN GASTO PÚBLICO</vt:lpstr>
      <vt:lpstr>Lista consolidado macro</vt:lpstr>
      <vt:lpstr>_ECONOMIA_CONTRATACION</vt:lpstr>
      <vt:lpstr>_EFICACIA_CONTRATACION</vt:lpstr>
      <vt:lpstr>_EFICIENCIA_CONTRATACION</vt:lpstr>
      <vt:lpstr>Base</vt:lpstr>
      <vt:lpstr>'CALIFICACIÓN GASTO PÚBLICO'!HALLAZGOS</vt:lpstr>
      <vt:lpstr>Muestra_Min</vt:lpstr>
      <vt:lpstr>Parametro_Min</vt:lpstr>
      <vt:lpstr>ParaminAlta</vt:lpstr>
      <vt:lpstr>ParaminBaja</vt:lpstr>
      <vt:lpstr>ParaminMedia</vt:lpstr>
      <vt:lpstr>Riesgo</vt:lpstr>
      <vt:lpstr>ValorUniverso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USER</cp:lastModifiedBy>
  <cp:revision/>
  <dcterms:created xsi:type="dcterms:W3CDTF">2020-11-17T20:47:08Z</dcterms:created>
  <dcterms:modified xsi:type="dcterms:W3CDTF">2025-02-10T23:16:59Z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98db72c4-b3f2-4c33-a4c4-bd4204b5bb3e</vt:lpwstr>
  </property>
</Properties>
</file>